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8" tabRatio="854" firstSheet="2" activeTab="2"/>
  </bookViews>
  <sheets>
    <sheet name="Einleitung" sheetId="1" r:id="rId1"/>
    <sheet name="Annahmen zur Modellierung" sheetId="2" r:id="rId2"/>
    <sheet name="DurchschnJahresnettoeinkommen" sheetId="3" r:id="rId3"/>
    <sheet name="EntwJahresnettoeinkommen" sheetId="4" r:id="rId4"/>
    <sheet name="Familienzuschlag" sheetId="5" r:id="rId5"/>
    <sheet name="E13 - Modell" sheetId="6" r:id="rId6"/>
    <sheet name="E13 Stufe 5 - Modell" sheetId="7" r:id="rId7"/>
    <sheet name="E13 TV-L Zulagen - Modell" sheetId="8" r:id="rId8"/>
    <sheet name="E13 - Tabelle" sheetId="9" r:id="rId9"/>
    <sheet name="A13 - Modell" sheetId="10" r:id="rId10"/>
    <sheet name="A13 - Tabelle" sheetId="11" r:id="rId11"/>
  </sheets>
  <definedNames>
    <definedName name="_xlnm.Print_Area" localSheetId="9">'A13 - Modell'!$A$1:$O$48</definedName>
    <definedName name="_xlnm.Print_Area" localSheetId="10">'A13 - Tabelle'!$A$1:$J$21</definedName>
    <definedName name="_xlnm.Print_Area" localSheetId="1">'Annahmen zur Modellierung'!$A$1:$M$18</definedName>
    <definedName name="_xlnm.Print_Area" localSheetId="2">'DurchschnJahresnettoeinkommen'!$A$1:$K$20</definedName>
    <definedName name="_xlnm.Print_Area" localSheetId="5">'E13 - Modell'!$A$1:$P$48</definedName>
    <definedName name="_xlnm.Print_Area" localSheetId="8">'E13 - Tabelle'!$A$1:$M$18</definedName>
    <definedName name="_xlnm.Print_Area" localSheetId="6">'E13 Stufe 5 - Modell'!$A$1:$Q$48</definedName>
    <definedName name="_xlnm.Print_Area" localSheetId="7">'E13 TV-L Zulagen - Modell'!$A$1:$Q$48</definedName>
    <definedName name="_xlnm.Print_Area" localSheetId="0">'Einleitung'!$A$1:$L$19</definedName>
    <definedName name="_xlnm.Print_Area" localSheetId="3">'EntwJahresnettoeinkommen'!$A$1:$J$44</definedName>
  </definedNames>
  <calcPr fullCalcOnLoad="1"/>
</workbook>
</file>

<file path=xl/comments9.xml><?xml version="1.0" encoding="utf-8"?>
<comments xmlns="http://schemas.openxmlformats.org/spreadsheetml/2006/main">
  <authors>
    <author>Gramm</author>
  </authors>
  <commentList>
    <comment ref="M3" authorId="0">
      <text>
        <r>
          <rPr>
            <b/>
            <sz val="9"/>
            <rFont val="Segoe UI"/>
            <family val="2"/>
          </rPr>
          <t>Gramm:</t>
        </r>
        <r>
          <rPr>
            <sz val="9"/>
            <rFont val="Segoe UI"/>
            <family val="2"/>
          </rPr>
          <t xml:space="preserve">
Das macht doch hier wenig Sinn, einzelne Stufen zu vergleichen, wenn sich die Wartezeiten und Anzahl der Stufen unterscheiden!</t>
        </r>
      </text>
    </comment>
  </commentList>
</comments>
</file>

<file path=xl/sharedStrings.xml><?xml version="1.0" encoding="utf-8"?>
<sst xmlns="http://schemas.openxmlformats.org/spreadsheetml/2006/main" count="336" uniqueCount="144">
  <si>
    <t>Jahr</t>
  </si>
  <si>
    <t>Alter</t>
  </si>
  <si>
    <t>Stufe</t>
  </si>
  <si>
    <t>Jahresgehalt netto ohne KV</t>
  </si>
  <si>
    <t>Jahresgehalt 
brutto</t>
  </si>
  <si>
    <t>Jahresgehalt
brutto</t>
  </si>
  <si>
    <t>Jahresgehalt
netto</t>
  </si>
  <si>
    <t>Æ</t>
  </si>
  <si>
    <t>Differenz  zu Jahresgehalt netto A13</t>
  </si>
  <si>
    <t>50% PKV monatl.:</t>
  </si>
  <si>
    <t>Die Zahlen im Überblick:</t>
  </si>
  <si>
    <t>Beamter A13</t>
  </si>
  <si>
    <t xml:space="preserve"> Differenz 
zu Beamten</t>
  </si>
  <si>
    <t>Modellrechnung Vergleich Besoldung A13 und TV-L Entgeltstufe E13</t>
  </si>
  <si>
    <t>E13</t>
  </si>
  <si>
    <t>Jv°</t>
  </si>
  <si>
    <t>E13 Stufe 5</t>
  </si>
  <si>
    <t>TV-L E13 mit Vorweggewährung der Erfahrungsstufe 5 (heute vom Senat einseitig gewährt)</t>
  </si>
  <si>
    <t>A13</t>
  </si>
  <si>
    <t>TV-L E13 (tariflich abgesichertes Einkommen für angestellte Lehrkräfte mit Laufbahnbefähigung)</t>
  </si>
  <si>
    <t>Anteil</t>
  </si>
  <si>
    <t>° Jv = Differenz des Lebensarbeitszeitnettoverdienstes in Jahresnettoverdiensten</t>
  </si>
  <si>
    <t>duchschnittliches Jahresnetto-einkommen</t>
  </si>
  <si>
    <t>Differenz 
zu E13</t>
  </si>
  <si>
    <t>Differenz zu E13 Stufe 5</t>
  </si>
  <si>
    <t>Eingruppierung</t>
  </si>
  <si>
    <t>Jahresgehalt netto abzügl.
50% PKV</t>
  </si>
  <si>
    <t>Summe der Differenz zu Jahresgehalt
netto  A13</t>
  </si>
  <si>
    <t>Modellrechnung Vergleich Besoldung A13 und TV-L Entgeltstufe E13 Vorweggewährung Stufe 5</t>
  </si>
  <si>
    <t>Modellrechnung Besoldung A13</t>
  </si>
  <si>
    <t>Differenz 
zu Beamten in 40 Jahren</t>
  </si>
  <si>
    <r>
      <t>Æ</t>
    </r>
    <r>
      <rPr>
        <b/>
        <i/>
        <sz val="6"/>
        <rFont val="Arial"/>
        <family val="2"/>
      </rPr>
      <t xml:space="preserve"> Jahres-nettoein-kommen</t>
    </r>
  </si>
  <si>
    <t>Dienst-jahr</t>
  </si>
  <si>
    <t>Differenz</t>
  </si>
  <si>
    <t>verdienst</t>
  </si>
  <si>
    <t>Erfahrungs-</t>
  </si>
  <si>
    <t>stufe</t>
  </si>
  <si>
    <t>brutto</t>
  </si>
  <si>
    <t>monatl.</t>
  </si>
  <si>
    <t>netto*</t>
  </si>
  <si>
    <t>netto</t>
  </si>
  <si>
    <t>Jahres-</t>
  </si>
  <si>
    <t>Verdienst</t>
  </si>
  <si>
    <t>derzahlung</t>
  </si>
  <si>
    <t>Jahresson-</t>
  </si>
  <si>
    <t>Jahresver-</t>
  </si>
  <si>
    <t>dienst netto</t>
  </si>
  <si>
    <t>Stufe 5</t>
  </si>
  <si>
    <t>E13 Tarif</t>
  </si>
  <si>
    <t>monatl. Ver-</t>
  </si>
  <si>
    <t>abzügl. 50% PKV</t>
  </si>
  <si>
    <t>abzgl. 50% PKV</t>
  </si>
  <si>
    <r>
      <t>Æ</t>
    </r>
    <r>
      <rPr>
        <i/>
        <sz val="8"/>
        <color indexed="23"/>
        <rFont val="Arial"/>
        <family val="2"/>
      </rPr>
      <t xml:space="preserve"> monatlich:</t>
    </r>
  </si>
  <si>
    <t xml:space="preserve"> Differenz 
zu Beamten jährlich</t>
  </si>
  <si>
    <t>Prozentsatz:</t>
  </si>
  <si>
    <t>monatliche* Kosten Arbeitgeber:</t>
  </si>
  <si>
    <t>Pflege-versicherung</t>
  </si>
  <si>
    <t>Arbeitslosen-versicherung</t>
  </si>
  <si>
    <t>Renten-versicherung</t>
  </si>
  <si>
    <t>Summe Sozialver-sicherung</t>
  </si>
  <si>
    <t>Entgelt brutto</t>
  </si>
  <si>
    <t>Kosten Arbeitgeber</t>
  </si>
  <si>
    <t>netto-Einkommen Arbeitnehmer</t>
  </si>
  <si>
    <t xml:space="preserve">  * inkl. Jahressonderzahlung</t>
  </si>
  <si>
    <t>Differenz 
AG-Kosten - AN-Netto</t>
  </si>
  <si>
    <t>monatliche* Kosten Arbeitnehmer:</t>
  </si>
  <si>
    <t>VBL</t>
  </si>
  <si>
    <t>KV</t>
  </si>
  <si>
    <t>Besoldung brutto</t>
  </si>
  <si>
    <r>
      <t xml:space="preserve">Æ  </t>
    </r>
    <r>
      <rPr>
        <sz val="8"/>
        <rFont val="Arial"/>
        <family val="2"/>
      </rPr>
      <t>Pensions-kosten</t>
    </r>
  </si>
  <si>
    <r>
      <t xml:space="preserve">Æ   </t>
    </r>
    <r>
      <rPr>
        <sz val="8"/>
        <color indexed="23"/>
        <rFont val="Arial"/>
        <family val="2"/>
      </rPr>
      <t>Kosten Beihilfe**</t>
    </r>
  </si>
  <si>
    <t>** Hier sind die Kosten für das Beihilfe-System durch die Anzahl der versorgten Beamten zu teilen.</t>
  </si>
  <si>
    <r>
      <t xml:space="preserve">Æ  </t>
    </r>
    <r>
      <rPr>
        <sz val="8"/>
        <rFont val="Arial"/>
        <family val="2"/>
      </rPr>
      <t>Pensionskosten:</t>
    </r>
  </si>
  <si>
    <r>
      <t xml:space="preserve">Æ   </t>
    </r>
    <r>
      <rPr>
        <sz val="8"/>
        <color indexed="23"/>
        <rFont val="Arial"/>
        <family val="2"/>
      </rPr>
      <t>Kosten Beihilfe**:</t>
    </r>
  </si>
  <si>
    <t>Beitragsbemessungsgrenze Krankenversicherung 2012:</t>
  </si>
  <si>
    <t>Entgelt
brutto</t>
  </si>
  <si>
    <t>** Die Beitragsbemessungsgrenzen für die Rentenversicherung 2012 (Westen) von 67.200 € Jahresgehalt oder 5.600 € Monatsgehalt (brutto) wird nicht erreicht.</t>
  </si>
  <si>
    <t xml:space="preserve">Quellen: </t>
  </si>
  <si>
    <t>http://www.aok-bv.de/zahlen/gesundheitswesen/index_00529.html</t>
  </si>
  <si>
    <t>http://www.krankenkassen.de/gesetzliche-krankenkassen/system-gesetzliche-krankenversicherung/sozialversicherung-rechengroessen-beitragsbemessungsgrenze-versicherungspflichtgrenze/rechengroessen-2012/</t>
  </si>
  <si>
    <t>http://www.lohn-info.de/beitragsberechnung.html</t>
  </si>
  <si>
    <t>Arbeitslosen-versicherung**</t>
  </si>
  <si>
    <t>Renten-versicherung**</t>
  </si>
  <si>
    <t>Stand:</t>
  </si>
  <si>
    <t>Differenz zu E13 ohne Zulage:</t>
  </si>
  <si>
    <t>zu Stufe 5</t>
  </si>
  <si>
    <t>Pension (71,75%)</t>
  </si>
  <si>
    <t>zum Vergleich: Jahresnettoverdienst TV-L E13 Stufe 5:</t>
  </si>
  <si>
    <r>
      <t xml:space="preserve">zum Vergleich: </t>
    </r>
    <r>
      <rPr>
        <sz val="10"/>
        <rFont val="Symbol"/>
        <family val="1"/>
      </rPr>
      <t>Æ</t>
    </r>
    <r>
      <rPr>
        <sz val="10"/>
        <rFont val="Arial"/>
        <family val="2"/>
      </rPr>
      <t xml:space="preserve"> Jahresnettoverdienst TV-L E13:</t>
    </r>
  </si>
  <si>
    <t>* gemäß</t>
  </si>
  <si>
    <r>
      <t xml:space="preserve">zu </t>
    </r>
    <r>
      <rPr>
        <sz val="10"/>
        <color indexed="23"/>
        <rFont val="Symbol"/>
        <family val="1"/>
      </rPr>
      <t>Æ</t>
    </r>
    <r>
      <rPr>
        <i/>
        <sz val="10"/>
        <color indexed="23"/>
        <rFont val="Arial"/>
        <family val="2"/>
      </rPr>
      <t xml:space="preserve"> E13</t>
    </r>
  </si>
  <si>
    <t xml:space="preserve">netto Pension gemäß </t>
  </si>
  <si>
    <t>http://www.brutto-netto-rechner.info</t>
  </si>
  <si>
    <t>E13 Zulagen max</t>
  </si>
  <si>
    <t>zur vorher-</t>
  </si>
  <si>
    <t>gehenden</t>
  </si>
  <si>
    <t>rungs-</t>
  </si>
  <si>
    <t>Erfah-</t>
  </si>
  <si>
    <t>Differenz monatl.</t>
  </si>
  <si>
    <t>zu A13 netto.</t>
  </si>
  <si>
    <t>E13 Zulagen gem.§16(5) TV-L</t>
  </si>
  <si>
    <t>monatlich</t>
  </si>
  <si>
    <t>jährlich</t>
  </si>
  <si>
    <t>Arbeitslosen-versicherung*</t>
  </si>
  <si>
    <t>rechengroessen-beitragsbemessungsgrenze-versicherungspflichtgrenze/rechengroessen-2012/</t>
  </si>
  <si>
    <r>
      <t>http://www.krankenkassen.de/gesetzliche-krankenkassen/system-gesetzliche-krankenversicherung/sozialversicherung-</t>
    </r>
    <r>
      <rPr>
        <u val="single"/>
        <sz val="8"/>
        <color indexed="9"/>
        <rFont val="Arial"/>
        <family val="2"/>
      </rPr>
      <t>rechengroessen-beitragsbemessungsgrenze-versicherungspflichtgrenze/rechengroessen-2012/</t>
    </r>
  </si>
  <si>
    <t>Die Beitragsbemessungsgrenzen für die Rentenversicherung 2012 (Westen) von 67.200 € Jahresgehalt oder 5.600 € Monatsgehalt (brutto) wird nicht erreicht.</t>
  </si>
  <si>
    <t>* inkl. Jahressonderzahlung</t>
  </si>
  <si>
    <r>
      <t>Besoldung Berlin A13</t>
    </r>
    <r>
      <rPr>
        <sz val="8"/>
        <rFont val="Arial"/>
        <family val="2"/>
      </rPr>
      <t xml:space="preserve"> ab 1.1.2016</t>
    </r>
  </si>
  <si>
    <r>
      <t xml:space="preserve">Entgelt TV-L E13 Berlin </t>
    </r>
    <r>
      <rPr>
        <sz val="8"/>
        <rFont val="Arial"/>
        <family val="2"/>
      </rPr>
      <t>ab 1.1.2016
bei Vorweggewährung von 2 Erfahrungsstufen 
sowie einer Zulage von 20% der Stufe 2 gemäß § 16 (5) TV-L</t>
    </r>
  </si>
  <si>
    <t>TV-L E13 mit einer Zulage zur Erfahrungsstufe 5</t>
  </si>
  <si>
    <t>E13 Zul.gem.TV-L§16(5)</t>
  </si>
  <si>
    <t>Von einer Angleichung der Einkommen kann keine Rede sein.</t>
  </si>
  <si>
    <t>Modellrechnung Vergleich Besoldung A13 und TV-L E13 + Zulage zu Stufe 5 (20% der Stufe 2)</t>
  </si>
  <si>
    <t>in 27 Jahren Unterhaltszeit:</t>
  </si>
  <si>
    <t>in 40 Dienstjahren:</t>
  </si>
  <si>
    <t>Summe:</t>
  </si>
  <si>
    <t>A13 Berliner Beamtenbesoldung für das Amt des Studienrats</t>
  </si>
  <si>
    <t>Beamter A13 (nach Abzug 210€ PKV)</t>
  </si>
  <si>
    <t>E13 Tarif (Anspruch heute)</t>
  </si>
  <si>
    <t>E13 Stufe 5 (heute gezahlt)</t>
  </si>
  <si>
    <t>© Bildet Berlin! e. V. 2017</t>
  </si>
  <si>
    <r>
      <t>Besoldung Berlin A13</t>
    </r>
    <r>
      <rPr>
        <sz val="8"/>
        <rFont val="Arial"/>
        <family val="2"/>
      </rPr>
      <t xml:space="preserve"> ab 1.8.2018</t>
    </r>
  </si>
  <si>
    <r>
      <t xml:space="preserve">Entgelt TV-L Berlin E13 ab 1.10.2018
</t>
    </r>
    <r>
      <rPr>
        <sz val="8"/>
        <rFont val="Arial"/>
        <family val="2"/>
      </rPr>
      <t>heute tariflich abgesichert</t>
    </r>
  </si>
  <si>
    <r>
      <t>Besoldung Berlin A13</t>
    </r>
    <r>
      <rPr>
        <sz val="8"/>
        <rFont val="Arial"/>
        <family val="2"/>
      </rPr>
      <t>, neue Besoldung ab 1.8.2018</t>
    </r>
  </si>
  <si>
    <r>
      <t xml:space="preserve">Entgelt TV-L Berlin E13 ab 1.10.2018
Vorweggewährung der Erfahrungsstufe 5
</t>
    </r>
    <r>
      <rPr>
        <sz val="8"/>
        <rFont val="Arial"/>
        <family val="2"/>
      </rPr>
      <t>(außertarifliche, kündbare Nebenabrede)</t>
    </r>
  </si>
  <si>
    <r>
      <t xml:space="preserve">Besoldung Berlin A13 </t>
    </r>
    <r>
      <rPr>
        <sz val="8"/>
        <rFont val="Arial"/>
        <family val="2"/>
      </rPr>
      <t>ab 1.8.2018</t>
    </r>
  </si>
  <si>
    <t>für einen Studienrat, der mit 27 Jahren zum 01. August 2018 eingestellt wurde und unverheiratet und kinderlos bleibt ohne zukünftige Inflation und Lohnentwicklung</t>
  </si>
  <si>
    <t>für einen Studienrat, der mit 27 Jahren zum 01. August 2018 vereidigt wurde und unverheiratet und kinderlos bleibt ohne zukünftige Inflation und Lohnentwicklung</t>
  </si>
  <si>
    <t>A13 Berlin Stand 1.8.2018, ledig, keine Kinder, Steuerklasse 1</t>
  </si>
  <si>
    <t>http://oeffentlicher-dienst.info/c/t/rechner/beamte/be?id=beamte-berlin-2018&amp;g=A_13&amp;s=0&amp;f=0&amp;z=100&amp;zulage=&amp;stj=2017&amp;stkl=1&amp;r=0&amp;zkf=0</t>
  </si>
  <si>
    <t>inkl. allgemeine Stellenzulage höherer Dienst 88,59 €</t>
  </si>
  <si>
    <t>2 Kinder, ledig</t>
  </si>
  <si>
    <t>2 Kinder, verheiratet</t>
  </si>
  <si>
    <t>keine Kinder, verheiratet</t>
  </si>
  <si>
    <t>moatl. netto ohne Sonderzahlung:</t>
  </si>
  <si>
    <t>moatl. brutto ohne Sonderzahlung:</t>
  </si>
  <si>
    <t>http://oeffentlicher-dienst.info/c/t/rechner/tv-l/west?id=tv-l-2018i</t>
  </si>
  <si>
    <t>brutto*</t>
  </si>
  <si>
    <t>maximale Zulage nach §16 (5) TV-L (20% von Stufe 2):</t>
  </si>
  <si>
    <t>â</t>
  </si>
  <si>
    <t>TV-L E13 Berlin ab 01.01.2018, ledig, keine Kinder, Steuerklasse 1</t>
  </si>
  <si>
    <r>
      <t>Familienzuschlag</t>
    </r>
    <r>
      <rPr>
        <sz val="10"/>
        <rFont val="Arial"/>
        <family val="2"/>
      </rPr>
      <t xml:space="preserve"> brutto - Stand 01.08.2018</t>
    </r>
  </si>
  <si>
    <t>Die Vorweggewährung der Stufe 5 verringert die Differenz von 13% auf 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</si>
</sst>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_);_(@_)"/>
    <numFmt numFmtId="173" formatCode="_-* #,##0.00\ [$€-40A]_-;\-* #,##0.00\ [$€-40A]_-;_-* &quot;-&quot;??\ [$€-40A]_-;_-@_-"/>
    <numFmt numFmtId="174" formatCode="#,##0.00\ [$€-40A]"/>
    <numFmt numFmtId="175" formatCode="#,##0.0"/>
    <numFmt numFmtId="176" formatCode="0.0%"/>
    <numFmt numFmtId="177" formatCode="#,##0.00\ &quot;€&quot;"/>
    <numFmt numFmtId="178" formatCode="0.0"/>
    <numFmt numFmtId="179" formatCode="#,##0.0000"/>
    <numFmt numFmtId="180" formatCode="&quot;Ja&quot;;&quot;Ja&quot;;&quot;Nein&quot;"/>
    <numFmt numFmtId="181" formatCode="&quot;Wahr&quot;;&quot;Wahr&quot;;&quot;Falsch&quot;"/>
    <numFmt numFmtId="182" formatCode="&quot;Ein&quot;;&quot;Ein&quot;;&quot;Aus&quot;"/>
    <numFmt numFmtId="183" formatCode="[$€-2]\ #,##0.00_);[Red]\([$€-2]\ #,##0.00\)"/>
    <numFmt numFmtId="184" formatCode="#,##0.00\ _€"/>
    <numFmt numFmtId="185" formatCode="0.000%"/>
    <numFmt numFmtId="186" formatCode="#,##0.000\ [$€-40A]"/>
    <numFmt numFmtId="187" formatCode="[$-407]dddd\,\ d\.\ mmmm\ yyyy"/>
    <numFmt numFmtId="188" formatCode="#,##0\ [$€-40A]"/>
    <numFmt numFmtId="189" formatCode="#,##0\ &quot;€&quot;"/>
    <numFmt numFmtId="190" formatCode="#,##0_ ;\-#,##0\ "/>
    <numFmt numFmtId="191" formatCode="_-* #,##0.00\ [$€-407]_-;\-* #,##0.00\ [$€-407]_-;_-* &quot;-&quot;??\ [$€-407]_-;_-@_-"/>
  </numFmts>
  <fonts count="122">
    <font>
      <sz val="10"/>
      <name val="Arial"/>
      <family val="0"/>
    </font>
    <font>
      <b/>
      <sz val="10"/>
      <name val="Arial"/>
      <family val="2"/>
    </font>
    <font>
      <sz val="8"/>
      <name val="Arial"/>
      <family val="0"/>
    </font>
    <font>
      <u val="single"/>
      <sz val="10"/>
      <color indexed="12"/>
      <name val="Arial"/>
      <family val="0"/>
    </font>
    <font>
      <sz val="10"/>
      <color indexed="23"/>
      <name val="Arial"/>
      <family val="0"/>
    </font>
    <font>
      <i/>
      <sz val="10"/>
      <color indexed="10"/>
      <name val="Arial"/>
      <family val="2"/>
    </font>
    <font>
      <sz val="8"/>
      <color indexed="23"/>
      <name val="Arial"/>
      <family val="0"/>
    </font>
    <font>
      <b/>
      <sz val="8"/>
      <name val="Arial"/>
      <family val="0"/>
    </font>
    <font>
      <i/>
      <sz val="8"/>
      <color indexed="10"/>
      <name val="Arial"/>
      <family val="0"/>
    </font>
    <font>
      <i/>
      <sz val="10"/>
      <color indexed="62"/>
      <name val="Arial"/>
      <family val="2"/>
    </font>
    <font>
      <i/>
      <sz val="8"/>
      <color indexed="62"/>
      <name val="Arial"/>
      <family val="2"/>
    </font>
    <font>
      <b/>
      <i/>
      <sz val="8"/>
      <color indexed="62"/>
      <name val="Arial"/>
      <family val="2"/>
    </font>
    <font>
      <i/>
      <sz val="6"/>
      <color indexed="62"/>
      <name val="Arial"/>
      <family val="2"/>
    </font>
    <font>
      <i/>
      <sz val="10"/>
      <color indexed="23"/>
      <name val="Arial"/>
      <family val="2"/>
    </font>
    <font>
      <i/>
      <sz val="8"/>
      <color indexed="23"/>
      <name val="Arial"/>
      <family val="2"/>
    </font>
    <font>
      <i/>
      <sz val="6"/>
      <color indexed="23"/>
      <name val="Arial"/>
      <family val="2"/>
    </font>
    <font>
      <b/>
      <i/>
      <sz val="8"/>
      <color indexed="23"/>
      <name val="Arial"/>
      <family val="2"/>
    </font>
    <font>
      <b/>
      <i/>
      <sz val="10"/>
      <color indexed="23"/>
      <name val="Arial"/>
      <family val="2"/>
    </font>
    <font>
      <b/>
      <sz val="11"/>
      <name val="Arial"/>
      <family val="2"/>
    </font>
    <font>
      <b/>
      <sz val="11"/>
      <color indexed="23"/>
      <name val="Arial"/>
      <family val="2"/>
    </font>
    <font>
      <sz val="10"/>
      <color indexed="9"/>
      <name val="Arial"/>
      <family val="2"/>
    </font>
    <font>
      <b/>
      <i/>
      <sz val="10"/>
      <name val="Arial"/>
      <family val="2"/>
    </font>
    <font>
      <b/>
      <i/>
      <sz val="8"/>
      <name val="Arial"/>
      <family val="2"/>
    </font>
    <font>
      <sz val="5"/>
      <color indexed="23"/>
      <name val="Arial"/>
      <family val="0"/>
    </font>
    <font>
      <b/>
      <i/>
      <sz val="6"/>
      <name val="Arial"/>
      <family val="2"/>
    </font>
    <font>
      <b/>
      <sz val="6"/>
      <name val="Symbol"/>
      <family val="1"/>
    </font>
    <font>
      <b/>
      <i/>
      <sz val="6"/>
      <color indexed="23"/>
      <name val="Arial"/>
      <family val="2"/>
    </font>
    <font>
      <sz val="6"/>
      <name val="Arial"/>
      <family val="2"/>
    </font>
    <font>
      <sz val="6"/>
      <color indexed="23"/>
      <name val="Arial"/>
      <family val="2"/>
    </font>
    <font>
      <b/>
      <sz val="6"/>
      <name val="Arial"/>
      <family val="2"/>
    </font>
    <font>
      <b/>
      <sz val="6"/>
      <color indexed="23"/>
      <name val="Arial"/>
      <family val="2"/>
    </font>
    <font>
      <i/>
      <sz val="8"/>
      <name val="Arial"/>
      <family val="2"/>
    </font>
    <font>
      <b/>
      <sz val="10"/>
      <color indexed="23"/>
      <name val="Arial"/>
      <family val="2"/>
    </font>
    <font>
      <sz val="10"/>
      <color indexed="21"/>
      <name val="Arial"/>
      <family val="0"/>
    </font>
    <font>
      <b/>
      <sz val="10"/>
      <color indexed="21"/>
      <name val="Arial"/>
      <family val="2"/>
    </font>
    <font>
      <sz val="10"/>
      <color indexed="53"/>
      <name val="Arial"/>
      <family val="0"/>
    </font>
    <font>
      <b/>
      <sz val="10"/>
      <color indexed="53"/>
      <name val="Arial"/>
      <family val="2"/>
    </font>
    <font>
      <sz val="10"/>
      <name val="Symbol"/>
      <family val="1"/>
    </font>
    <font>
      <b/>
      <sz val="10"/>
      <name val="Symbol"/>
      <family val="1"/>
    </font>
    <font>
      <b/>
      <i/>
      <sz val="10"/>
      <color indexed="62"/>
      <name val="Arial"/>
      <family val="2"/>
    </font>
    <font>
      <i/>
      <sz val="8"/>
      <color indexed="23"/>
      <name val="Symbol"/>
      <family val="1"/>
    </font>
    <font>
      <b/>
      <sz val="8"/>
      <color indexed="23"/>
      <name val="Arial"/>
      <family val="2"/>
    </font>
    <font>
      <sz val="8"/>
      <name val="Symbol"/>
      <family val="1"/>
    </font>
    <font>
      <sz val="8"/>
      <color indexed="23"/>
      <name val="Symbol"/>
      <family val="1"/>
    </font>
    <font>
      <u val="single"/>
      <sz val="8"/>
      <color indexed="12"/>
      <name val="Arial"/>
      <family val="0"/>
    </font>
    <font>
      <u val="single"/>
      <sz val="10"/>
      <color indexed="36"/>
      <name val="Arial"/>
      <family val="0"/>
    </font>
    <font>
      <sz val="10"/>
      <color indexed="23"/>
      <name val="Symbol"/>
      <family val="1"/>
    </font>
    <font>
      <b/>
      <sz val="10"/>
      <color indexed="10"/>
      <name val="Arial"/>
      <family val="2"/>
    </font>
    <font>
      <i/>
      <sz val="10"/>
      <color indexed="21"/>
      <name val="Arial"/>
      <family val="2"/>
    </font>
    <font>
      <u val="single"/>
      <sz val="8"/>
      <color indexed="9"/>
      <name val="Arial"/>
      <family val="2"/>
    </font>
    <font>
      <sz val="9"/>
      <name val="Segoe UI"/>
      <family val="2"/>
    </font>
    <font>
      <b/>
      <sz val="9"/>
      <name val="Segoe U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10"/>
      <color indexed="43"/>
      <name val="Arial"/>
      <family val="2"/>
    </font>
    <font>
      <i/>
      <sz val="10"/>
      <color indexed="22"/>
      <name val="Arial"/>
      <family val="2"/>
    </font>
    <font>
      <i/>
      <sz val="10"/>
      <color indexed="47"/>
      <name val="Arial"/>
      <family val="2"/>
    </font>
    <font>
      <b/>
      <sz val="10"/>
      <color indexed="55"/>
      <name val="Arial"/>
      <family val="2"/>
    </font>
    <font>
      <sz val="10"/>
      <color indexed="55"/>
      <name val="Wingdings"/>
      <family val="0"/>
    </font>
    <font>
      <i/>
      <sz val="10"/>
      <color indexed="55"/>
      <name val="Arial"/>
      <family val="2"/>
    </font>
    <font>
      <b/>
      <sz val="11"/>
      <color indexed="8"/>
      <name val="Arial"/>
      <family val="0"/>
    </font>
    <font>
      <sz val="11"/>
      <color indexed="8"/>
      <name val="Arial"/>
      <family val="0"/>
    </font>
    <font>
      <sz val="2"/>
      <color indexed="8"/>
      <name val="Arial"/>
      <family val="0"/>
    </font>
    <font>
      <sz val="10"/>
      <color indexed="8"/>
      <name val="Arial"/>
      <family val="0"/>
    </font>
    <font>
      <b/>
      <sz val="2"/>
      <color indexed="8"/>
      <name val="Arial"/>
      <family val="0"/>
    </font>
    <font>
      <b/>
      <sz val="10"/>
      <color indexed="8"/>
      <name val="Arial"/>
      <family val="0"/>
    </font>
    <font>
      <sz val="9.5"/>
      <color indexed="8"/>
      <name val="Arial"/>
      <family val="0"/>
    </font>
    <font>
      <b/>
      <sz val="9.5"/>
      <color indexed="8"/>
      <name val="Arial"/>
      <family val="0"/>
    </font>
    <font>
      <b/>
      <i/>
      <sz val="10"/>
      <color indexed="8"/>
      <name val="Arial"/>
      <family val="0"/>
    </font>
    <font>
      <b/>
      <sz val="12"/>
      <color indexed="8"/>
      <name val="Arial"/>
      <family val="0"/>
    </font>
    <font>
      <sz val="14.25"/>
      <color indexed="8"/>
      <name val="Arial"/>
      <family val="0"/>
    </font>
    <font>
      <b/>
      <sz val="12.5"/>
      <color indexed="8"/>
      <name val="Arial"/>
      <family val="0"/>
    </font>
    <font>
      <b/>
      <sz val="14"/>
      <color indexed="8"/>
      <name val="Arial"/>
      <family val="0"/>
    </font>
    <font>
      <b/>
      <sz val="15.5"/>
      <color indexed="8"/>
      <name val="Arial"/>
      <family val="0"/>
    </font>
    <font>
      <b/>
      <sz val="12"/>
      <color indexed="52"/>
      <name val="Arial"/>
      <family val="0"/>
    </font>
    <font>
      <b/>
      <sz val="12"/>
      <color indexed="23"/>
      <name val="Arial"/>
      <family val="0"/>
    </font>
    <font>
      <b/>
      <sz val="12"/>
      <color indexed="10"/>
      <name val="Arial"/>
      <family val="0"/>
    </font>
    <font>
      <b/>
      <i/>
      <sz val="12"/>
      <color indexed="8"/>
      <name val="Arial"/>
      <family val="0"/>
    </font>
    <font>
      <b/>
      <u val="single"/>
      <sz val="11"/>
      <color indexed="23"/>
      <name val="Arial"/>
      <family val="0"/>
    </font>
    <font>
      <b/>
      <u val="single"/>
      <sz val="11"/>
      <color indexed="8"/>
      <name val="Arial"/>
      <family val="0"/>
    </font>
    <font>
      <sz val="11"/>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4999699890613556"/>
      <name val="Arial"/>
      <family val="2"/>
    </font>
    <font>
      <i/>
      <sz val="10"/>
      <color theme="0" tint="-0.4999699890613556"/>
      <name val="Arial"/>
      <family val="2"/>
    </font>
    <font>
      <b/>
      <sz val="10"/>
      <color theme="0" tint="-0.4999699890613556"/>
      <name val="Arial"/>
      <family val="2"/>
    </font>
    <font>
      <i/>
      <sz val="10"/>
      <color theme="7" tint="0.5999900102615356"/>
      <name val="Arial"/>
      <family val="2"/>
    </font>
    <font>
      <i/>
      <sz val="10"/>
      <color theme="3" tint="0.5999900102615356"/>
      <name val="Arial"/>
      <family val="2"/>
    </font>
    <font>
      <i/>
      <sz val="10"/>
      <color theme="5" tint="0.39998000860214233"/>
      <name val="Arial"/>
      <family val="2"/>
    </font>
    <font>
      <b/>
      <sz val="10"/>
      <color theme="0" tint="-0.3499799966812134"/>
      <name val="Arial"/>
      <family val="2"/>
    </font>
    <font>
      <sz val="10"/>
      <color theme="0" tint="-0.3499799966812134"/>
      <name val="Wingdings"/>
      <family val="0"/>
    </font>
    <font>
      <i/>
      <sz val="10"/>
      <color theme="0" tint="-0.349979996681213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0" fontId="100" fillId="27" borderId="2" applyNumberFormat="0" applyAlignment="0" applyProtection="0"/>
    <xf numFmtId="0" fontId="101" fillId="0" borderId="3" applyNumberFormat="0" applyFill="0" applyAlignment="0" applyProtection="0"/>
    <xf numFmtId="0" fontId="102" fillId="0" borderId="0" applyNumberFormat="0" applyFill="0" applyBorder="0" applyAlignment="0" applyProtection="0"/>
    <xf numFmtId="172" fontId="0" fillId="0" borderId="0" applyFont="0" applyFill="0" applyBorder="0" applyAlignment="0" applyProtection="0"/>
    <xf numFmtId="0" fontId="103"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10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05" fillId="31" borderId="0" applyNumberFormat="0" applyBorder="0" applyAlignment="0" applyProtection="0"/>
    <xf numFmtId="0" fontId="106" fillId="0" borderId="0"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11" fillId="0" borderId="0" applyNumberFormat="0" applyFill="0" applyBorder="0" applyAlignment="0" applyProtection="0"/>
    <xf numFmtId="0" fontId="112" fillId="32" borderId="9" applyNumberFormat="0" applyAlignment="0" applyProtection="0"/>
  </cellStyleXfs>
  <cellXfs count="434">
    <xf numFmtId="0" fontId="0" fillId="0" borderId="0" xfId="0" applyAlignment="1">
      <alignment/>
    </xf>
    <xf numFmtId="172" fontId="0" fillId="0" borderId="0" xfId="46" applyFont="1" applyAlignment="1">
      <alignment/>
    </xf>
    <xf numFmtId="0" fontId="1" fillId="0" borderId="0" xfId="0" applyFont="1" applyAlignment="1">
      <alignment/>
    </xf>
    <xf numFmtId="172" fontId="0" fillId="0" borderId="0" xfId="46" applyAlignment="1">
      <alignment/>
    </xf>
    <xf numFmtId="172" fontId="1" fillId="0" borderId="0" xfId="46" applyFont="1" applyAlignment="1">
      <alignment/>
    </xf>
    <xf numFmtId="0" fontId="4" fillId="0" borderId="0" xfId="0" applyFont="1" applyAlignment="1">
      <alignment/>
    </xf>
    <xf numFmtId="172" fontId="0" fillId="0" borderId="0" xfId="46" applyFont="1" applyAlignment="1">
      <alignment/>
    </xf>
    <xf numFmtId="172" fontId="5" fillId="0" borderId="0" xfId="46" applyFont="1" applyAlignment="1">
      <alignment/>
    </xf>
    <xf numFmtId="0" fontId="6" fillId="0" borderId="0" xfId="0" applyFont="1" applyAlignment="1">
      <alignment/>
    </xf>
    <xf numFmtId="0" fontId="2" fillId="0" borderId="0" xfId="0" applyFont="1" applyAlignment="1">
      <alignment/>
    </xf>
    <xf numFmtId="172" fontId="2" fillId="0" borderId="0" xfId="46" applyFont="1" applyAlignment="1">
      <alignment/>
    </xf>
    <xf numFmtId="172" fontId="7" fillId="0" borderId="0" xfId="46" applyFont="1" applyAlignment="1">
      <alignment/>
    </xf>
    <xf numFmtId="172" fontId="8" fillId="0" borderId="0" xfId="46" applyFont="1" applyAlignment="1">
      <alignment/>
    </xf>
    <xf numFmtId="0" fontId="6" fillId="0" borderId="0" xfId="0" applyFont="1" applyAlignment="1">
      <alignment horizontal="center" vertical="center"/>
    </xf>
    <xf numFmtId="172" fontId="2" fillId="0" borderId="0" xfId="46" applyFont="1" applyBorder="1" applyAlignment="1">
      <alignment horizontal="center" vertical="center" wrapText="1"/>
    </xf>
    <xf numFmtId="172" fontId="8" fillId="0" borderId="0" xfId="46" applyFont="1" applyAlignment="1">
      <alignment horizontal="center" vertical="center" wrapText="1"/>
    </xf>
    <xf numFmtId="0" fontId="2" fillId="0" borderId="10" xfId="0" applyFont="1" applyBorder="1" applyAlignment="1">
      <alignment/>
    </xf>
    <xf numFmtId="174" fontId="2" fillId="0" borderId="0" xfId="46" applyNumberFormat="1" applyFont="1" applyBorder="1" applyAlignment="1">
      <alignment/>
    </xf>
    <xf numFmtId="174" fontId="7" fillId="0" borderId="11" xfId="46" applyNumberFormat="1" applyFont="1" applyBorder="1" applyAlignment="1">
      <alignment/>
    </xf>
    <xf numFmtId="174" fontId="8" fillId="0" borderId="0" xfId="46" applyNumberFormat="1" applyFont="1" applyAlignment="1">
      <alignment/>
    </xf>
    <xf numFmtId="174" fontId="7" fillId="0" borderId="0" xfId="46" applyNumberFormat="1" applyFont="1" applyBorder="1" applyAlignment="1">
      <alignment/>
    </xf>
    <xf numFmtId="0" fontId="2" fillId="0" borderId="12" xfId="0" applyFont="1" applyBorder="1" applyAlignment="1">
      <alignment/>
    </xf>
    <xf numFmtId="0" fontId="2" fillId="0" borderId="0" xfId="0" applyFont="1" applyAlignment="1">
      <alignment horizontal="right"/>
    </xf>
    <xf numFmtId="172" fontId="2" fillId="0" borderId="0" xfId="46" applyFont="1" applyAlignment="1">
      <alignment/>
    </xf>
    <xf numFmtId="176" fontId="6" fillId="0" borderId="0" xfId="0" applyNumberFormat="1" applyFont="1" applyBorder="1" applyAlignment="1">
      <alignment/>
    </xf>
    <xf numFmtId="172" fontId="8" fillId="0" borderId="0" xfId="46" applyFont="1" applyAlignment="1">
      <alignment horizontal="center" vertical="center"/>
    </xf>
    <xf numFmtId="172" fontId="9" fillId="0" borderId="0" xfId="46" applyFont="1" applyAlignment="1">
      <alignment/>
    </xf>
    <xf numFmtId="172" fontId="10" fillId="0" borderId="0" xfId="46" applyFont="1" applyAlignment="1">
      <alignment/>
    </xf>
    <xf numFmtId="174" fontId="10" fillId="0" borderId="0" xfId="46" applyNumberFormat="1" applyFont="1" applyBorder="1" applyAlignment="1">
      <alignment/>
    </xf>
    <xf numFmtId="174" fontId="11" fillId="0" borderId="0" xfId="46" applyNumberFormat="1" applyFont="1" applyBorder="1" applyAlignment="1">
      <alignment/>
    </xf>
    <xf numFmtId="172" fontId="13" fillId="0" borderId="0" xfId="46" applyFont="1" applyAlignment="1">
      <alignment/>
    </xf>
    <xf numFmtId="172" fontId="14" fillId="0" borderId="0" xfId="46" applyFont="1" applyAlignment="1">
      <alignment/>
    </xf>
    <xf numFmtId="174" fontId="14" fillId="0" borderId="11" xfId="46" applyNumberFormat="1" applyFont="1" applyBorder="1" applyAlignment="1">
      <alignment/>
    </xf>
    <xf numFmtId="174" fontId="2" fillId="0" borderId="0" xfId="46" applyNumberFormat="1" applyFont="1" applyBorder="1" applyAlignment="1">
      <alignment horizontal="left"/>
    </xf>
    <xf numFmtId="0" fontId="18" fillId="0" borderId="0" xfId="0" applyFont="1" applyAlignment="1">
      <alignment/>
    </xf>
    <xf numFmtId="0" fontId="0" fillId="0" borderId="0" xfId="0" applyAlignment="1">
      <alignment horizontal="right"/>
    </xf>
    <xf numFmtId="177" fontId="0" fillId="0" borderId="0" xfId="0" applyNumberFormat="1" applyAlignment="1">
      <alignment/>
    </xf>
    <xf numFmtId="178" fontId="4" fillId="0" borderId="0" xfId="0" applyNumberFormat="1" applyFont="1" applyAlignment="1">
      <alignment/>
    </xf>
    <xf numFmtId="178" fontId="6" fillId="0" borderId="0" xfId="0" applyNumberFormat="1" applyFont="1" applyAlignment="1">
      <alignment/>
    </xf>
    <xf numFmtId="177" fontId="2" fillId="0" borderId="0" xfId="0" applyNumberFormat="1" applyFont="1" applyAlignment="1">
      <alignment/>
    </xf>
    <xf numFmtId="0" fontId="2" fillId="0" borderId="0" xfId="0" applyFont="1" applyAlignment="1">
      <alignment/>
    </xf>
    <xf numFmtId="0" fontId="4" fillId="0" borderId="0" xfId="0" applyFont="1" applyAlignment="1">
      <alignment/>
    </xf>
    <xf numFmtId="174" fontId="1" fillId="0" borderId="0" xfId="0" applyNumberFormat="1" applyFont="1" applyAlignment="1">
      <alignment/>
    </xf>
    <xf numFmtId="0" fontId="19" fillId="0" borderId="0" xfId="0" applyFont="1" applyAlignment="1">
      <alignment/>
    </xf>
    <xf numFmtId="0" fontId="6" fillId="0" borderId="0" xfId="0" applyFont="1" applyAlignment="1">
      <alignment/>
    </xf>
    <xf numFmtId="177" fontId="6" fillId="0" borderId="0" xfId="0" applyNumberFormat="1" applyFont="1" applyAlignment="1">
      <alignment/>
    </xf>
    <xf numFmtId="177" fontId="4" fillId="0" borderId="0" xfId="0" applyNumberFormat="1" applyFont="1" applyAlignment="1">
      <alignment/>
    </xf>
    <xf numFmtId="174" fontId="14" fillId="0" borderId="0" xfId="46" applyNumberFormat="1" applyFont="1" applyBorder="1" applyAlignment="1">
      <alignment/>
    </xf>
    <xf numFmtId="172" fontId="15" fillId="0" borderId="0" xfId="46" applyFont="1" applyBorder="1" applyAlignment="1">
      <alignment horizontal="center" vertical="center" wrapText="1"/>
    </xf>
    <xf numFmtId="174" fontId="16" fillId="0" borderId="0" xfId="46" applyNumberFormat="1" applyFont="1" applyBorder="1" applyAlignment="1">
      <alignment/>
    </xf>
    <xf numFmtId="178" fontId="4" fillId="0" borderId="0" xfId="0" applyNumberFormat="1" applyFont="1" applyAlignment="1">
      <alignment/>
    </xf>
    <xf numFmtId="0" fontId="20" fillId="33" borderId="0" xfId="0" applyFont="1" applyFill="1" applyAlignment="1">
      <alignment/>
    </xf>
    <xf numFmtId="178" fontId="20" fillId="33" borderId="0" xfId="0" applyNumberFormat="1" applyFont="1" applyFill="1" applyAlignment="1">
      <alignment/>
    </xf>
    <xf numFmtId="0" fontId="0" fillId="34" borderId="0" xfId="0" applyFont="1" applyFill="1" applyAlignment="1">
      <alignment/>
    </xf>
    <xf numFmtId="178" fontId="0" fillId="34" borderId="0" xfId="0" applyNumberFormat="1" applyFont="1" applyFill="1" applyAlignment="1">
      <alignment/>
    </xf>
    <xf numFmtId="178" fontId="16" fillId="0" borderId="0" xfId="0" applyNumberFormat="1" applyFont="1" applyAlignment="1">
      <alignment horizontal="left"/>
    </xf>
    <xf numFmtId="0" fontId="21" fillId="0" borderId="13" xfId="0" applyFont="1" applyBorder="1" applyAlignment="1">
      <alignment horizontal="center" vertical="center" wrapText="1"/>
    </xf>
    <xf numFmtId="0" fontId="17" fillId="0" borderId="14" xfId="0" applyFont="1" applyBorder="1" applyAlignment="1">
      <alignment horizontal="center" vertical="center" wrapText="1"/>
    </xf>
    <xf numFmtId="178" fontId="17" fillId="0" borderId="15" xfId="0" applyNumberFormat="1" applyFont="1" applyBorder="1" applyAlignment="1">
      <alignment horizontal="center" vertical="center" wrapText="1"/>
    </xf>
    <xf numFmtId="0" fontId="6" fillId="0" borderId="0" xfId="0" applyFont="1" applyBorder="1" applyAlignment="1">
      <alignment/>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178" fontId="22" fillId="0" borderId="0" xfId="0" applyNumberFormat="1" applyFont="1" applyAlignment="1">
      <alignment horizontal="left"/>
    </xf>
    <xf numFmtId="0" fontId="7" fillId="0" borderId="0" xfId="0" applyFont="1" applyBorder="1" applyAlignment="1">
      <alignment horizontal="center" vertical="center" wrapText="1"/>
    </xf>
    <xf numFmtId="0" fontId="2" fillId="0" borderId="12" xfId="0" applyFont="1" applyBorder="1" applyAlignment="1">
      <alignment horizontal="center" vertical="center"/>
    </xf>
    <xf numFmtId="172" fontId="2" fillId="0" borderId="16" xfId="46" applyFont="1" applyBorder="1" applyAlignment="1">
      <alignment horizontal="center" vertical="center" wrapText="1"/>
    </xf>
    <xf numFmtId="172" fontId="7" fillId="0" borderId="17" xfId="46" applyFont="1" applyBorder="1" applyAlignment="1">
      <alignment horizontal="center" vertical="center" wrapText="1"/>
    </xf>
    <xf numFmtId="172" fontId="7" fillId="0" borderId="16" xfId="46" applyFont="1" applyBorder="1" applyAlignment="1">
      <alignment horizontal="center" vertical="center" wrapText="1"/>
    </xf>
    <xf numFmtId="172" fontId="12" fillId="0" borderId="16" xfId="46" applyFont="1" applyBorder="1" applyAlignment="1">
      <alignment horizontal="center" vertical="center" wrapText="1"/>
    </xf>
    <xf numFmtId="172" fontId="15" fillId="0" borderId="17" xfId="46" applyFont="1" applyBorder="1" applyAlignment="1">
      <alignment horizontal="center" vertical="center" wrapText="1"/>
    </xf>
    <xf numFmtId="174" fontId="10" fillId="0" borderId="16" xfId="46" applyNumberFormat="1" applyFont="1" applyBorder="1" applyAlignment="1">
      <alignment/>
    </xf>
    <xf numFmtId="174" fontId="14" fillId="0" borderId="17" xfId="46" applyNumberFormat="1" applyFont="1" applyBorder="1" applyAlignment="1">
      <alignment/>
    </xf>
    <xf numFmtId="0" fontId="6" fillId="0" borderId="0" xfId="0" applyFont="1" applyBorder="1" applyAlignment="1">
      <alignment horizontal="right" vertical="center"/>
    </xf>
    <xf numFmtId="0" fontId="0" fillId="0" borderId="0" xfId="0" applyBorder="1" applyAlignment="1">
      <alignment/>
    </xf>
    <xf numFmtId="0" fontId="0" fillId="0" borderId="0" xfId="0" applyBorder="1" applyAlignment="1">
      <alignment horizontal="center" vertical="center" wrapText="1"/>
    </xf>
    <xf numFmtId="0" fontId="4" fillId="33" borderId="0" xfId="0" applyFont="1" applyFill="1" applyAlignment="1">
      <alignment/>
    </xf>
    <xf numFmtId="0" fontId="0" fillId="33" borderId="0" xfId="0" applyFill="1" applyAlignment="1">
      <alignment/>
    </xf>
    <xf numFmtId="172" fontId="0" fillId="33" borderId="0" xfId="46" applyFont="1" applyFill="1" applyAlignment="1">
      <alignment/>
    </xf>
    <xf numFmtId="172" fontId="1" fillId="33" borderId="0" xfId="46" applyFont="1" applyFill="1" applyAlignment="1">
      <alignment/>
    </xf>
    <xf numFmtId="172" fontId="5" fillId="33" borderId="0" xfId="46" applyFont="1" applyFill="1" applyAlignment="1">
      <alignment/>
    </xf>
    <xf numFmtId="172" fontId="9" fillId="33" borderId="0" xfId="46" applyFont="1" applyFill="1" applyAlignment="1">
      <alignment/>
    </xf>
    <xf numFmtId="172" fontId="0" fillId="33" borderId="0" xfId="46" applyFont="1" applyFill="1" applyBorder="1" applyAlignment="1">
      <alignment/>
    </xf>
    <xf numFmtId="172" fontId="13" fillId="33" borderId="0" xfId="46" applyFont="1" applyFill="1" applyBorder="1" applyAlignment="1">
      <alignment/>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178" fontId="24" fillId="0" borderId="15" xfId="0" applyNumberFormat="1" applyFont="1" applyFill="1" applyBorder="1" applyAlignment="1">
      <alignment horizontal="center" vertical="center" wrapText="1"/>
    </xf>
    <xf numFmtId="0" fontId="27" fillId="0" borderId="10" xfId="0" applyFont="1" applyFill="1" applyBorder="1" applyAlignment="1">
      <alignment/>
    </xf>
    <xf numFmtId="177" fontId="27" fillId="0" borderId="0" xfId="0" applyNumberFormat="1" applyFont="1" applyFill="1" applyBorder="1" applyAlignment="1">
      <alignment/>
    </xf>
    <xf numFmtId="177" fontId="27" fillId="0" borderId="10" xfId="0" applyNumberFormat="1" applyFont="1" applyFill="1" applyBorder="1" applyAlignment="1">
      <alignment/>
    </xf>
    <xf numFmtId="177" fontId="28" fillId="0" borderId="0" xfId="0" applyNumberFormat="1" applyFont="1" applyFill="1" applyBorder="1" applyAlignment="1">
      <alignment/>
    </xf>
    <xf numFmtId="9" fontId="27" fillId="0" borderId="0" xfId="52" applyFont="1" applyFill="1" applyBorder="1" applyAlignment="1">
      <alignment/>
    </xf>
    <xf numFmtId="178" fontId="27" fillId="0" borderId="11" xfId="0" applyNumberFormat="1" applyFont="1" applyFill="1" applyBorder="1" applyAlignment="1">
      <alignment/>
    </xf>
    <xf numFmtId="178" fontId="27" fillId="0" borderId="0" xfId="0" applyNumberFormat="1" applyFont="1" applyFill="1" applyBorder="1" applyAlignment="1">
      <alignment/>
    </xf>
    <xf numFmtId="177" fontId="29" fillId="0" borderId="0" xfId="0" applyNumberFormat="1" applyFont="1" applyFill="1" applyBorder="1" applyAlignment="1">
      <alignment/>
    </xf>
    <xf numFmtId="177" fontId="30" fillId="0" borderId="0" xfId="0" applyNumberFormat="1" applyFont="1" applyFill="1" applyBorder="1" applyAlignment="1">
      <alignment/>
    </xf>
    <xf numFmtId="9" fontId="29" fillId="0" borderId="0" xfId="52" applyFont="1" applyFill="1" applyBorder="1" applyAlignment="1">
      <alignment/>
    </xf>
    <xf numFmtId="178" fontId="29" fillId="0" borderId="0" xfId="0" applyNumberFormat="1" applyFont="1" applyFill="1" applyBorder="1" applyAlignment="1">
      <alignment/>
    </xf>
    <xf numFmtId="0" fontId="2" fillId="0" borderId="0" xfId="0" applyFont="1" applyBorder="1" applyAlignment="1">
      <alignment/>
    </xf>
    <xf numFmtId="172" fontId="2" fillId="0" borderId="0" xfId="46" applyFont="1" applyBorder="1" applyAlignment="1">
      <alignment/>
    </xf>
    <xf numFmtId="172" fontId="7" fillId="0" borderId="0" xfId="46" applyFont="1" applyBorder="1" applyAlignment="1">
      <alignment/>
    </xf>
    <xf numFmtId="172" fontId="10" fillId="0" borderId="0" xfId="46" applyFont="1" applyBorder="1" applyAlignment="1">
      <alignment/>
    </xf>
    <xf numFmtId="0" fontId="2" fillId="0" borderId="0" xfId="0" applyFont="1" applyBorder="1" applyAlignment="1">
      <alignment horizontal="center" vertical="center"/>
    </xf>
    <xf numFmtId="0" fontId="23" fillId="0" borderId="0" xfId="0" applyFont="1" applyBorder="1" applyAlignment="1">
      <alignment horizontal="center" vertical="center" wrapText="1"/>
    </xf>
    <xf numFmtId="172" fontId="7" fillId="0" borderId="0" xfId="46" applyFont="1" applyBorder="1" applyAlignment="1">
      <alignment horizontal="center" vertical="center" wrapText="1"/>
    </xf>
    <xf numFmtId="172" fontId="7" fillId="0" borderId="0" xfId="46" applyFont="1" applyBorder="1" applyAlignment="1">
      <alignment horizontal="center" vertical="center" wrapText="1"/>
    </xf>
    <xf numFmtId="0" fontId="1" fillId="0" borderId="0" xfId="0" applyFont="1" applyBorder="1" applyAlignment="1">
      <alignment horizontal="center" vertical="center"/>
    </xf>
    <xf numFmtId="174" fontId="1" fillId="0" borderId="18" xfId="46" applyNumberFormat="1" applyFont="1" applyBorder="1" applyAlignment="1">
      <alignment/>
    </xf>
    <xf numFmtId="174" fontId="0" fillId="0" borderId="0" xfId="46" applyNumberFormat="1" applyFont="1" applyBorder="1" applyAlignment="1">
      <alignment/>
    </xf>
    <xf numFmtId="0" fontId="37" fillId="0" borderId="0" xfId="0" applyFont="1" applyBorder="1" applyAlignment="1">
      <alignment horizontal="center"/>
    </xf>
    <xf numFmtId="174" fontId="1" fillId="0" borderId="0" xfId="46" applyNumberFormat="1" applyFont="1" applyBorder="1" applyAlignment="1">
      <alignment/>
    </xf>
    <xf numFmtId="174" fontId="9" fillId="0" borderId="0" xfId="46" applyNumberFormat="1" applyFont="1" applyBorder="1" applyAlignment="1">
      <alignment/>
    </xf>
    <xf numFmtId="0" fontId="0" fillId="0" borderId="0" xfId="0" applyFont="1" applyAlignment="1">
      <alignment/>
    </xf>
    <xf numFmtId="0" fontId="38" fillId="0" borderId="19" xfId="0" applyFont="1" applyBorder="1" applyAlignment="1">
      <alignment horizontal="center"/>
    </xf>
    <xf numFmtId="174" fontId="1" fillId="0" borderId="20" xfId="46" applyNumberFormat="1" applyFont="1" applyBorder="1" applyAlignment="1">
      <alignment/>
    </xf>
    <xf numFmtId="0" fontId="6" fillId="0" borderId="0" xfId="0" applyFont="1" applyAlignment="1">
      <alignment horizontal="center" vertical="center" wrapText="1"/>
    </xf>
    <xf numFmtId="0" fontId="32" fillId="0" borderId="0" xfId="0" applyFont="1" applyAlignment="1">
      <alignment/>
    </xf>
    <xf numFmtId="174" fontId="1" fillId="0" borderId="20" xfId="46" applyNumberFormat="1" applyFont="1" applyBorder="1" applyAlignment="1">
      <alignment/>
    </xf>
    <xf numFmtId="174" fontId="1" fillId="0" borderId="0" xfId="46" applyNumberFormat="1" applyFont="1" applyBorder="1" applyAlignment="1">
      <alignment/>
    </xf>
    <xf numFmtId="174" fontId="39" fillId="0" borderId="20" xfId="46" applyNumberFormat="1" applyFont="1" applyBorder="1" applyAlignment="1">
      <alignment/>
    </xf>
    <xf numFmtId="174" fontId="39" fillId="0" borderId="18" xfId="46" applyNumberFormat="1" applyFont="1" applyBorder="1" applyAlignment="1">
      <alignment/>
    </xf>
    <xf numFmtId="174" fontId="17" fillId="0" borderId="0" xfId="46" applyNumberFormat="1" applyFont="1" applyBorder="1" applyAlignment="1">
      <alignment/>
    </xf>
    <xf numFmtId="0" fontId="1" fillId="0" borderId="0" xfId="0" applyFont="1" applyAlignment="1">
      <alignment/>
    </xf>
    <xf numFmtId="0" fontId="1" fillId="33" borderId="0" xfId="0" applyFont="1" applyFill="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right"/>
    </xf>
    <xf numFmtId="0" fontId="32"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33" fillId="0" borderId="0" xfId="0" applyFont="1" applyAlignment="1">
      <alignment/>
    </xf>
    <xf numFmtId="0" fontId="33" fillId="0" borderId="0" xfId="0" applyFont="1" applyAlignment="1">
      <alignment horizontal="center"/>
    </xf>
    <xf numFmtId="172" fontId="33" fillId="0" borderId="0" xfId="46" applyFont="1" applyAlignment="1">
      <alignment horizontal="center"/>
    </xf>
    <xf numFmtId="174" fontId="33" fillId="0" borderId="0" xfId="46" applyNumberFormat="1" applyFont="1" applyAlignment="1">
      <alignment horizontal="right"/>
    </xf>
    <xf numFmtId="172" fontId="33" fillId="0" borderId="0" xfId="46" applyFont="1" applyAlignment="1">
      <alignment/>
    </xf>
    <xf numFmtId="172" fontId="34" fillId="0" borderId="0" xfId="46" applyFont="1" applyAlignment="1">
      <alignment horizontal="center"/>
    </xf>
    <xf numFmtId="174" fontId="34" fillId="0" borderId="0" xfId="46" applyNumberFormat="1" applyFont="1" applyAlignment="1">
      <alignment horizontal="right"/>
    </xf>
    <xf numFmtId="172" fontId="34" fillId="0" borderId="0" xfId="46" applyFont="1" applyAlignment="1">
      <alignment/>
    </xf>
    <xf numFmtId="172" fontId="35" fillId="0" borderId="0" xfId="46" applyFont="1" applyAlignment="1">
      <alignment horizontal="center"/>
    </xf>
    <xf numFmtId="174" fontId="35" fillId="0" borderId="0" xfId="46" applyNumberFormat="1" applyFont="1" applyAlignment="1">
      <alignment horizontal="right"/>
    </xf>
    <xf numFmtId="172" fontId="36" fillId="0" borderId="0" xfId="46" applyFont="1" applyAlignment="1">
      <alignment/>
    </xf>
    <xf numFmtId="172" fontId="36" fillId="0" borderId="0" xfId="46" applyFont="1" applyAlignment="1">
      <alignment horizontal="center"/>
    </xf>
    <xf numFmtId="174" fontId="36" fillId="0" borderId="0" xfId="46" applyNumberFormat="1" applyFont="1" applyAlignment="1">
      <alignment horizontal="right"/>
    </xf>
    <xf numFmtId="172" fontId="33" fillId="0" borderId="0" xfId="46" applyFont="1" applyAlignment="1">
      <alignment horizontal="center"/>
    </xf>
    <xf numFmtId="0" fontId="13" fillId="0" borderId="0" xfId="0" applyFont="1" applyAlignment="1">
      <alignment/>
    </xf>
    <xf numFmtId="0" fontId="13" fillId="0" borderId="0" xfId="0" applyFont="1" applyAlignment="1">
      <alignment horizontal="center"/>
    </xf>
    <xf numFmtId="174" fontId="13" fillId="0" borderId="0" xfId="46" applyNumberFormat="1" applyFont="1" applyAlignment="1">
      <alignment horizontal="right"/>
    </xf>
    <xf numFmtId="0" fontId="35" fillId="0" borderId="0" xfId="0" applyFont="1" applyAlignment="1">
      <alignment horizontal="center"/>
    </xf>
    <xf numFmtId="172" fontId="35" fillId="0" borderId="0" xfId="46" applyFont="1" applyAlignment="1">
      <alignment/>
    </xf>
    <xf numFmtId="0" fontId="35" fillId="0" borderId="0" xfId="0" applyFont="1" applyAlignment="1">
      <alignment/>
    </xf>
    <xf numFmtId="174" fontId="13" fillId="0" borderId="0" xfId="0" applyNumberFormat="1" applyFont="1" applyAlignment="1">
      <alignment/>
    </xf>
    <xf numFmtId="174" fontId="35" fillId="0" borderId="0" xfId="46" applyNumberFormat="1" applyFont="1" applyAlignment="1">
      <alignment/>
    </xf>
    <xf numFmtId="0" fontId="7" fillId="0" borderId="0" xfId="0" applyFont="1" applyAlignment="1">
      <alignment horizontal="right"/>
    </xf>
    <xf numFmtId="174" fontId="36" fillId="0" borderId="0" xfId="46" applyNumberFormat="1" applyFont="1" applyAlignment="1">
      <alignment/>
    </xf>
    <xf numFmtId="174" fontId="33" fillId="0" borderId="0" xfId="46" applyNumberFormat="1" applyFont="1" applyAlignment="1">
      <alignment/>
    </xf>
    <xf numFmtId="174" fontId="34" fillId="0" borderId="0" xfId="0" applyNumberFormat="1" applyFont="1" applyAlignment="1">
      <alignment/>
    </xf>
    <xf numFmtId="174" fontId="33" fillId="0" borderId="0" xfId="46" applyNumberFormat="1" applyFont="1" applyAlignment="1">
      <alignment/>
    </xf>
    <xf numFmtId="174" fontId="16" fillId="0" borderId="11" xfId="46" applyNumberFormat="1" applyFont="1" applyBorder="1" applyAlignment="1">
      <alignment/>
    </xf>
    <xf numFmtId="0" fontId="0" fillId="34" borderId="10" xfId="0" applyFont="1" applyFill="1" applyBorder="1" applyAlignment="1">
      <alignment/>
    </xf>
    <xf numFmtId="177" fontId="0" fillId="34" borderId="11" xfId="0" applyNumberFormat="1" applyFont="1" applyFill="1" applyBorder="1" applyAlignment="1">
      <alignment/>
    </xf>
    <xf numFmtId="177" fontId="0" fillId="34" borderId="0" xfId="0" applyNumberFormat="1" applyFont="1" applyFill="1" applyBorder="1" applyAlignment="1">
      <alignment/>
    </xf>
    <xf numFmtId="9" fontId="0" fillId="34" borderId="0" xfId="52" applyFont="1" applyFill="1" applyBorder="1" applyAlignment="1">
      <alignment/>
    </xf>
    <xf numFmtId="178" fontId="0" fillId="34" borderId="11" xfId="0" applyNumberFormat="1" applyFont="1" applyFill="1" applyBorder="1" applyAlignment="1">
      <alignment/>
    </xf>
    <xf numFmtId="177" fontId="0" fillId="34" borderId="10" xfId="0" applyNumberFormat="1" applyFont="1" applyFill="1" applyBorder="1" applyAlignment="1">
      <alignment/>
    </xf>
    <xf numFmtId="0" fontId="20" fillId="33" borderId="10" xfId="0" applyFont="1" applyFill="1" applyBorder="1" applyAlignment="1">
      <alignment/>
    </xf>
    <xf numFmtId="177" fontId="20" fillId="33" borderId="11" xfId="0" applyNumberFormat="1" applyFont="1" applyFill="1" applyBorder="1" applyAlignment="1">
      <alignment/>
    </xf>
    <xf numFmtId="177" fontId="20" fillId="33" borderId="0" xfId="0" applyNumberFormat="1" applyFont="1" applyFill="1" applyBorder="1" applyAlignment="1">
      <alignment/>
    </xf>
    <xf numFmtId="9" fontId="20" fillId="33" borderId="0" xfId="52" applyFont="1" applyFill="1" applyBorder="1" applyAlignment="1">
      <alignment/>
    </xf>
    <xf numFmtId="178" fontId="20" fillId="33" borderId="11" xfId="0" applyNumberFormat="1" applyFont="1" applyFill="1" applyBorder="1" applyAlignment="1">
      <alignment/>
    </xf>
    <xf numFmtId="177" fontId="20" fillId="33" borderId="10" xfId="0" applyNumberFormat="1" applyFont="1" applyFill="1" applyBorder="1" applyAlignment="1">
      <alignment/>
    </xf>
    <xf numFmtId="0" fontId="14" fillId="0" borderId="0" xfId="0" applyFont="1" applyAlignment="1">
      <alignment/>
    </xf>
    <xf numFmtId="0" fontId="40" fillId="0" borderId="0" xfId="0" applyFont="1" applyAlignment="1">
      <alignment horizontal="right"/>
    </xf>
    <xf numFmtId="177" fontId="14" fillId="0" borderId="0" xfId="46" applyNumberFormat="1" applyFont="1" applyAlignment="1">
      <alignment/>
    </xf>
    <xf numFmtId="177" fontId="14" fillId="0" borderId="0" xfId="0" applyNumberFormat="1" applyFont="1" applyAlignment="1">
      <alignment horizontal="right"/>
    </xf>
    <xf numFmtId="0" fontId="14" fillId="0" borderId="0" xfId="0" applyFont="1" applyAlignment="1">
      <alignment/>
    </xf>
    <xf numFmtId="172" fontId="14" fillId="0" borderId="0" xfId="46" applyFont="1" applyBorder="1" applyAlignment="1">
      <alignment/>
    </xf>
    <xf numFmtId="0" fontId="0" fillId="33" borderId="0" xfId="0" applyFont="1" applyFill="1" applyAlignment="1">
      <alignment horizontal="center"/>
    </xf>
    <xf numFmtId="0" fontId="35" fillId="33" borderId="0" xfId="0" applyFont="1" applyFill="1" applyAlignment="1">
      <alignment/>
    </xf>
    <xf numFmtId="0" fontId="13" fillId="33" borderId="0" xfId="0" applyFont="1" applyFill="1" applyAlignment="1">
      <alignment/>
    </xf>
    <xf numFmtId="0" fontId="33" fillId="33" borderId="0" xfId="0" applyFont="1" applyFill="1" applyAlignment="1">
      <alignment/>
    </xf>
    <xf numFmtId="172" fontId="35" fillId="33" borderId="0" xfId="46" applyFont="1" applyFill="1" applyAlignment="1">
      <alignment/>
    </xf>
    <xf numFmtId="172" fontId="33" fillId="33" borderId="0" xfId="46" applyFont="1" applyFill="1" applyAlignment="1">
      <alignment/>
    </xf>
    <xf numFmtId="172" fontId="36" fillId="33" borderId="0" xfId="46" applyFont="1" applyFill="1" applyAlignment="1">
      <alignment/>
    </xf>
    <xf numFmtId="172" fontId="34" fillId="33" borderId="0" xfId="46" applyFont="1" applyFill="1" applyAlignment="1">
      <alignment/>
    </xf>
    <xf numFmtId="0" fontId="33" fillId="33" borderId="0" xfId="0" applyFont="1" applyFill="1" applyAlignment="1">
      <alignment horizontal="center"/>
    </xf>
    <xf numFmtId="0" fontId="0" fillId="33" borderId="0" xfId="0" applyFill="1" applyAlignment="1">
      <alignment horizontal="right"/>
    </xf>
    <xf numFmtId="0" fontId="4" fillId="33" borderId="0" xfId="0" applyFont="1" applyFill="1" applyAlignment="1">
      <alignment horizontal="right"/>
    </xf>
    <xf numFmtId="0" fontId="32" fillId="33" borderId="0" xfId="0" applyFont="1" applyFill="1" applyAlignment="1">
      <alignment horizontal="right"/>
    </xf>
    <xf numFmtId="174" fontId="4" fillId="33" borderId="0" xfId="0" applyNumberFormat="1" applyFont="1" applyFill="1" applyAlignment="1">
      <alignment horizontal="right"/>
    </xf>
    <xf numFmtId="0" fontId="4" fillId="0" borderId="0" xfId="0" applyFont="1" applyBorder="1" applyAlignment="1">
      <alignment/>
    </xf>
    <xf numFmtId="178" fontId="4" fillId="0" borderId="0" xfId="0" applyNumberFormat="1" applyFont="1" applyBorder="1" applyAlignment="1">
      <alignment/>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78" fontId="24" fillId="0" borderId="0" xfId="0" applyNumberFormat="1" applyFont="1" applyFill="1" applyBorder="1" applyAlignment="1">
      <alignment horizontal="center" vertical="center" wrapText="1"/>
    </xf>
    <xf numFmtId="0" fontId="27" fillId="0" borderId="0" xfId="0" applyFont="1" applyFill="1" applyBorder="1" applyAlignment="1">
      <alignment/>
    </xf>
    <xf numFmtId="0" fontId="29" fillId="0" borderId="0" xfId="0" applyFont="1" applyFill="1" applyBorder="1" applyAlignment="1">
      <alignment/>
    </xf>
    <xf numFmtId="0" fontId="1" fillId="0" borderId="0" xfId="0" applyFont="1" applyBorder="1" applyAlignment="1">
      <alignment/>
    </xf>
    <xf numFmtId="0" fontId="29" fillId="0" borderId="0" xfId="0" applyFont="1" applyFill="1" applyBorder="1" applyAlignment="1">
      <alignment wrapText="1"/>
    </xf>
    <xf numFmtId="0" fontId="31" fillId="0" borderId="0" xfId="0" applyFont="1" applyFill="1" applyBorder="1" applyAlignment="1">
      <alignment/>
    </xf>
    <xf numFmtId="178" fontId="22" fillId="0" borderId="0" xfId="0" applyNumberFormat="1" applyFont="1" applyBorder="1" applyAlignment="1">
      <alignment horizontal="left"/>
    </xf>
    <xf numFmtId="178" fontId="16" fillId="0" borderId="0" xfId="0" applyNumberFormat="1" applyFont="1" applyBorder="1" applyAlignment="1">
      <alignment horizontal="left"/>
    </xf>
    <xf numFmtId="0" fontId="4" fillId="0" borderId="0" xfId="0" applyFont="1" applyBorder="1" applyAlignment="1">
      <alignment/>
    </xf>
    <xf numFmtId="0" fontId="3" fillId="0" borderId="0" xfId="49" applyAlignment="1" applyProtection="1">
      <alignment/>
      <protection/>
    </xf>
    <xf numFmtId="0" fontId="0" fillId="0" borderId="0" xfId="0" applyFont="1" applyFill="1" applyBorder="1" applyAlignment="1">
      <alignment/>
    </xf>
    <xf numFmtId="0" fontId="27" fillId="0" borderId="13" xfId="0" applyFont="1" applyFill="1" applyBorder="1" applyAlignment="1">
      <alignment/>
    </xf>
    <xf numFmtId="177" fontId="27" fillId="0" borderId="14" xfId="0" applyNumberFormat="1" applyFont="1" applyFill="1" applyBorder="1" applyAlignment="1">
      <alignment/>
    </xf>
    <xf numFmtId="177" fontId="27" fillId="0" borderId="13" xfId="0" applyNumberFormat="1" applyFont="1" applyFill="1" applyBorder="1" applyAlignment="1">
      <alignment/>
    </xf>
    <xf numFmtId="177" fontId="28" fillId="0" borderId="14" xfId="0" applyNumberFormat="1" applyFont="1" applyFill="1" applyBorder="1" applyAlignment="1">
      <alignment/>
    </xf>
    <xf numFmtId="9" fontId="27" fillId="0" borderId="14" xfId="52" applyFont="1" applyFill="1" applyBorder="1" applyAlignment="1">
      <alignment/>
    </xf>
    <xf numFmtId="178" fontId="27" fillId="0" borderId="15" xfId="0" applyNumberFormat="1" applyFont="1" applyFill="1" applyBorder="1" applyAlignment="1">
      <alignment/>
    </xf>
    <xf numFmtId="0" fontId="27" fillId="0" borderId="21" xfId="0" applyFont="1" applyFill="1" applyBorder="1" applyAlignment="1">
      <alignment/>
    </xf>
    <xf numFmtId="177" fontId="27" fillId="0" borderId="22" xfId="0" applyNumberFormat="1" applyFont="1" applyFill="1" applyBorder="1" applyAlignment="1">
      <alignment/>
    </xf>
    <xf numFmtId="177" fontId="27" fillId="0" borderId="21" xfId="0" applyNumberFormat="1" applyFont="1" applyFill="1" applyBorder="1" applyAlignment="1">
      <alignment/>
    </xf>
    <xf numFmtId="177" fontId="28" fillId="0" borderId="22" xfId="0" applyNumberFormat="1" applyFont="1" applyFill="1" applyBorder="1" applyAlignment="1">
      <alignment/>
    </xf>
    <xf numFmtId="9" fontId="27" fillId="0" borderId="22" xfId="52" applyFont="1" applyFill="1" applyBorder="1" applyAlignment="1">
      <alignment/>
    </xf>
    <xf numFmtId="178" fontId="27" fillId="0" borderId="23" xfId="0" applyNumberFormat="1" applyFont="1" applyFill="1" applyBorder="1" applyAlignment="1">
      <alignment/>
    </xf>
    <xf numFmtId="0" fontId="27" fillId="0" borderId="21" xfId="0" applyFont="1" applyFill="1" applyBorder="1" applyAlignment="1">
      <alignment wrapText="1"/>
    </xf>
    <xf numFmtId="0" fontId="31" fillId="0" borderId="0" xfId="0" applyFont="1" applyFill="1" applyBorder="1" applyAlignment="1">
      <alignment horizontal="right"/>
    </xf>
    <xf numFmtId="0" fontId="0" fillId="0" borderId="0" xfId="0" applyFill="1" applyAlignment="1">
      <alignment/>
    </xf>
    <xf numFmtId="0" fontId="32" fillId="0" borderId="0" xfId="0" applyFont="1" applyAlignment="1">
      <alignment/>
    </xf>
    <xf numFmtId="49" fontId="7" fillId="0" borderId="21" xfId="46" applyNumberFormat="1" applyFont="1" applyBorder="1" applyAlignment="1">
      <alignment horizontal="right" vertical="center" wrapText="1"/>
    </xf>
    <xf numFmtId="49" fontId="2" fillId="0" borderId="22" xfId="46" applyNumberFormat="1" applyFont="1" applyBorder="1" applyAlignment="1">
      <alignment horizontal="center" vertical="center" wrapText="1"/>
    </xf>
    <xf numFmtId="49" fontId="41" fillId="0" borderId="22" xfId="46" applyNumberFormat="1" applyFont="1" applyBorder="1" applyAlignment="1">
      <alignment horizontal="center" vertical="center" wrapText="1"/>
    </xf>
    <xf numFmtId="49" fontId="7" fillId="0" borderId="23" xfId="46" applyNumberFormat="1" applyFont="1" applyBorder="1" applyAlignment="1">
      <alignment horizontal="center" vertical="center" wrapText="1"/>
    </xf>
    <xf numFmtId="49" fontId="7" fillId="0" borderId="0" xfId="46" applyNumberFormat="1" applyFont="1" applyBorder="1" applyAlignment="1">
      <alignment horizontal="center" vertical="center" wrapText="1"/>
    </xf>
    <xf numFmtId="0" fontId="0" fillId="0" borderId="10" xfId="0" applyFill="1" applyBorder="1" applyAlignment="1">
      <alignment/>
    </xf>
    <xf numFmtId="174" fontId="0" fillId="0" borderId="0" xfId="0" applyNumberFormat="1" applyBorder="1" applyAlignment="1">
      <alignment/>
    </xf>
    <xf numFmtId="174" fontId="32" fillId="0" borderId="0" xfId="0" applyNumberFormat="1" applyFont="1" applyBorder="1" applyAlignment="1">
      <alignment/>
    </xf>
    <xf numFmtId="174" fontId="1" fillId="0" borderId="11" xfId="0" applyNumberFormat="1" applyFont="1" applyBorder="1" applyAlignment="1">
      <alignment/>
    </xf>
    <xf numFmtId="174" fontId="1" fillId="0" borderId="0" xfId="0" applyNumberFormat="1" applyFont="1" applyBorder="1" applyAlignment="1">
      <alignment/>
    </xf>
    <xf numFmtId="0" fontId="7" fillId="0" borderId="10" xfId="0" applyFont="1" applyFill="1" applyBorder="1" applyAlignment="1">
      <alignment/>
    </xf>
    <xf numFmtId="0" fontId="38" fillId="0" borderId="21" xfId="0" applyFont="1" applyFill="1" applyBorder="1" applyAlignment="1">
      <alignment horizontal="right"/>
    </xf>
    <xf numFmtId="174" fontId="1" fillId="0" borderId="22" xfId="0" applyNumberFormat="1" applyFont="1" applyBorder="1" applyAlignment="1">
      <alignment/>
    </xf>
    <xf numFmtId="174" fontId="32" fillId="0" borderId="22" xfId="0" applyNumberFormat="1" applyFont="1" applyBorder="1" applyAlignment="1">
      <alignment/>
    </xf>
    <xf numFmtId="174" fontId="32" fillId="0" borderId="23" xfId="0" applyNumberFormat="1" applyFont="1" applyBorder="1" applyAlignment="1">
      <alignment/>
    </xf>
    <xf numFmtId="174" fontId="1" fillId="0" borderId="23" xfId="0" applyNumberFormat="1" applyFont="1" applyBorder="1" applyAlignment="1">
      <alignment/>
    </xf>
    <xf numFmtId="0" fontId="7" fillId="0" borderId="0" xfId="0" applyFont="1" applyAlignment="1">
      <alignment/>
    </xf>
    <xf numFmtId="0" fontId="41" fillId="0" borderId="0" xfId="0" applyFont="1" applyAlignment="1">
      <alignment/>
    </xf>
    <xf numFmtId="0" fontId="2" fillId="0" borderId="0" xfId="0" applyFont="1" applyFill="1" applyAlignment="1">
      <alignment horizontal="left"/>
    </xf>
    <xf numFmtId="174" fontId="14" fillId="0" borderId="0" xfId="0" applyNumberFormat="1" applyFont="1" applyAlignment="1">
      <alignment/>
    </xf>
    <xf numFmtId="10" fontId="0" fillId="0" borderId="0" xfId="52" applyNumberFormat="1" applyFont="1" applyAlignment="1">
      <alignment vertical="top"/>
    </xf>
    <xf numFmtId="185" fontId="0" fillId="0" borderId="0" xfId="52" applyNumberFormat="1" applyFont="1" applyAlignment="1">
      <alignment vertical="top"/>
    </xf>
    <xf numFmtId="174" fontId="0" fillId="0" borderId="10" xfId="0" applyNumberFormat="1" applyFont="1" applyBorder="1" applyAlignment="1">
      <alignment/>
    </xf>
    <xf numFmtId="174" fontId="13" fillId="0" borderId="11" xfId="0" applyNumberFormat="1" applyFont="1" applyBorder="1" applyAlignment="1">
      <alignment/>
    </xf>
    <xf numFmtId="174" fontId="1" fillId="0" borderId="24" xfId="0" applyNumberFormat="1" applyFont="1" applyBorder="1" applyAlignment="1">
      <alignment/>
    </xf>
    <xf numFmtId="49" fontId="2" fillId="0" borderId="21" xfId="46" applyNumberFormat="1" applyFont="1" applyBorder="1" applyAlignment="1">
      <alignment horizontal="center" vertical="center" wrapText="1"/>
    </xf>
    <xf numFmtId="49" fontId="14" fillId="0" borderId="23" xfId="46" applyNumberFormat="1" applyFont="1" applyBorder="1" applyAlignment="1">
      <alignment horizontal="center" vertical="center" wrapText="1"/>
    </xf>
    <xf numFmtId="49" fontId="2" fillId="0" borderId="21" xfId="46" applyNumberFormat="1" applyFont="1" applyBorder="1" applyAlignment="1">
      <alignment horizontal="center" vertical="center" wrapText="1"/>
    </xf>
    <xf numFmtId="174" fontId="0" fillId="0" borderId="10" xfId="0" applyNumberFormat="1" applyBorder="1" applyAlignment="1">
      <alignment/>
    </xf>
    <xf numFmtId="174" fontId="1" fillId="0" borderId="21" xfId="0" applyNumberFormat="1" applyFont="1" applyBorder="1" applyAlignment="1">
      <alignment/>
    </xf>
    <xf numFmtId="0" fontId="0" fillId="0" borderId="0" xfId="0" applyFont="1" applyFill="1" applyAlignment="1">
      <alignment/>
    </xf>
    <xf numFmtId="0" fontId="31" fillId="0" borderId="0" xfId="0" applyFont="1" applyFill="1" applyAlignment="1">
      <alignment/>
    </xf>
    <xf numFmtId="174" fontId="32" fillId="0" borderId="11" xfId="0" applyNumberFormat="1" applyFont="1" applyBorder="1" applyAlignment="1">
      <alignment/>
    </xf>
    <xf numFmtId="49" fontId="41" fillId="0" borderId="23" xfId="46" applyNumberFormat="1" applyFont="1" applyBorder="1" applyAlignment="1">
      <alignment horizontal="center" vertical="center" wrapText="1"/>
    </xf>
    <xf numFmtId="10" fontId="4" fillId="0" borderId="0" xfId="52" applyNumberFormat="1" applyFont="1" applyAlignment="1">
      <alignment vertical="top"/>
    </xf>
    <xf numFmtId="174" fontId="32" fillId="0" borderId="22" xfId="0" applyNumberFormat="1" applyFont="1" applyBorder="1" applyAlignment="1">
      <alignment/>
    </xf>
    <xf numFmtId="49" fontId="42" fillId="0" borderId="22" xfId="46" applyNumberFormat="1" applyFont="1" applyBorder="1" applyAlignment="1">
      <alignment horizontal="center" vertical="center" wrapText="1"/>
    </xf>
    <xf numFmtId="49" fontId="43" fillId="0" borderId="22" xfId="46" applyNumberFormat="1" applyFont="1" applyBorder="1" applyAlignment="1">
      <alignment horizontal="center" vertical="center" wrapText="1"/>
    </xf>
    <xf numFmtId="49" fontId="42" fillId="0" borderId="0" xfId="46" applyNumberFormat="1" applyFont="1" applyBorder="1" applyAlignment="1">
      <alignment horizontal="right" vertical="center"/>
    </xf>
    <xf numFmtId="49" fontId="42" fillId="0" borderId="0" xfId="46" applyNumberFormat="1" applyFont="1" applyBorder="1" applyAlignment="1">
      <alignment horizontal="left" vertical="center"/>
    </xf>
    <xf numFmtId="0" fontId="0" fillId="0" borderId="0" xfId="0" applyAlignment="1">
      <alignment/>
    </xf>
    <xf numFmtId="0" fontId="44" fillId="0" borderId="0" xfId="49" applyFont="1" applyAlignment="1" applyProtection="1">
      <alignment/>
      <protection/>
    </xf>
    <xf numFmtId="174" fontId="0" fillId="0" borderId="0" xfId="0" applyNumberFormat="1" applyAlignment="1">
      <alignment/>
    </xf>
    <xf numFmtId="177" fontId="0" fillId="0" borderId="0" xfId="0" applyNumberFormat="1" applyFont="1" applyFill="1" applyBorder="1" applyAlignment="1">
      <alignment horizontal="right"/>
    </xf>
    <xf numFmtId="177" fontId="14" fillId="0" borderId="0" xfId="46" applyNumberFormat="1" applyFont="1" applyAlignment="1">
      <alignment horizontal="right"/>
    </xf>
    <xf numFmtId="0" fontId="0" fillId="0" borderId="0" xfId="46" applyNumberFormat="1" applyFont="1" applyAlignment="1">
      <alignment horizontal="right"/>
    </xf>
    <xf numFmtId="185" fontId="0" fillId="0" borderId="0" xfId="52" applyNumberFormat="1" applyAlignment="1">
      <alignment vertical="top"/>
    </xf>
    <xf numFmtId="0" fontId="0" fillId="35" borderId="0" xfId="0" applyFill="1" applyAlignment="1">
      <alignment/>
    </xf>
    <xf numFmtId="0" fontId="4" fillId="35" borderId="0" xfId="0" applyFont="1" applyFill="1" applyAlignment="1">
      <alignment/>
    </xf>
    <xf numFmtId="0" fontId="36" fillId="0" borderId="0" xfId="0" applyFont="1" applyAlignment="1">
      <alignment horizontal="center"/>
    </xf>
    <xf numFmtId="0" fontId="1" fillId="0" borderId="0" xfId="0" applyFont="1" applyAlignment="1">
      <alignment horizontal="right"/>
    </xf>
    <xf numFmtId="0" fontId="0" fillId="36" borderId="10" xfId="0" applyFont="1" applyFill="1" applyBorder="1" applyAlignment="1">
      <alignment/>
    </xf>
    <xf numFmtId="177" fontId="0" fillId="36" borderId="11" xfId="0" applyNumberFormat="1" applyFont="1" applyFill="1" applyBorder="1" applyAlignment="1">
      <alignment/>
    </xf>
    <xf numFmtId="177" fontId="0" fillId="36" borderId="0" xfId="0" applyNumberFormat="1" applyFont="1" applyFill="1" applyBorder="1" applyAlignment="1">
      <alignment/>
    </xf>
    <xf numFmtId="9" fontId="0" fillId="36" borderId="0" xfId="52" applyFont="1" applyFill="1" applyBorder="1" applyAlignment="1">
      <alignment/>
    </xf>
    <xf numFmtId="178" fontId="0" fillId="36" borderId="11" xfId="0" applyNumberFormat="1" applyFont="1" applyFill="1" applyBorder="1" applyAlignment="1">
      <alignment/>
    </xf>
    <xf numFmtId="177" fontId="0" fillId="36" borderId="10" xfId="0" applyNumberFormat="1" applyFont="1" applyFill="1" applyBorder="1" applyAlignment="1">
      <alignment/>
    </xf>
    <xf numFmtId="10" fontId="0" fillId="0" borderId="0" xfId="52" applyNumberFormat="1" applyAlignment="1">
      <alignment vertical="top"/>
    </xf>
    <xf numFmtId="0" fontId="0" fillId="0" borderId="0" xfId="0" applyFont="1" applyFill="1" applyAlignment="1">
      <alignment/>
    </xf>
    <xf numFmtId="0" fontId="0" fillId="36" borderId="0" xfId="0" applyFont="1" applyFill="1" applyAlignment="1">
      <alignment/>
    </xf>
    <xf numFmtId="178" fontId="0" fillId="36" borderId="0" xfId="0" applyNumberFormat="1" applyFont="1" applyFill="1" applyAlignment="1">
      <alignment/>
    </xf>
    <xf numFmtId="0" fontId="0" fillId="36" borderId="0" xfId="0" applyFill="1" applyAlignment="1">
      <alignment/>
    </xf>
    <xf numFmtId="0" fontId="1" fillId="36" borderId="0" xfId="0" applyFont="1" applyFill="1" applyAlignment="1">
      <alignment/>
    </xf>
    <xf numFmtId="0" fontId="4" fillId="36" borderId="0" xfId="0" applyFont="1" applyFill="1" applyAlignment="1">
      <alignment/>
    </xf>
    <xf numFmtId="172" fontId="0" fillId="36" borderId="0" xfId="46" applyFill="1" applyAlignment="1">
      <alignment/>
    </xf>
    <xf numFmtId="172" fontId="0" fillId="36" borderId="0" xfId="46" applyFont="1" applyFill="1" applyAlignment="1">
      <alignment/>
    </xf>
    <xf numFmtId="172" fontId="1" fillId="36" borderId="0" xfId="46" applyFont="1" applyFill="1" applyAlignment="1">
      <alignment/>
    </xf>
    <xf numFmtId="172" fontId="5" fillId="36" borderId="0" xfId="46" applyFont="1" applyFill="1" applyAlignment="1">
      <alignment/>
    </xf>
    <xf numFmtId="172" fontId="9" fillId="36" borderId="0" xfId="46" applyFont="1" applyFill="1" applyAlignment="1">
      <alignment/>
    </xf>
    <xf numFmtId="172" fontId="0" fillId="36" borderId="0" xfId="46" applyFont="1" applyFill="1" applyBorder="1" applyAlignment="1">
      <alignment/>
    </xf>
    <xf numFmtId="172" fontId="9" fillId="36" borderId="0" xfId="46" applyFont="1" applyFill="1" applyBorder="1" applyAlignment="1">
      <alignment/>
    </xf>
    <xf numFmtId="172" fontId="13" fillId="36" borderId="0" xfId="46" applyFont="1" applyFill="1" applyBorder="1" applyAlignment="1">
      <alignment/>
    </xf>
    <xf numFmtId="172" fontId="0" fillId="33" borderId="0" xfId="46" applyFont="1" applyFill="1" applyAlignment="1">
      <alignment/>
    </xf>
    <xf numFmtId="0" fontId="0" fillId="35" borderId="0" xfId="0" applyFont="1" applyFill="1" applyAlignment="1">
      <alignment/>
    </xf>
    <xf numFmtId="172" fontId="0" fillId="35" borderId="0" xfId="46" applyFill="1" applyAlignment="1">
      <alignment/>
    </xf>
    <xf numFmtId="172" fontId="0" fillId="35" borderId="0" xfId="46" applyFont="1" applyFill="1" applyAlignment="1">
      <alignment/>
    </xf>
    <xf numFmtId="172" fontId="1" fillId="35" borderId="0" xfId="46" applyFont="1" applyFill="1" applyAlignment="1">
      <alignment/>
    </xf>
    <xf numFmtId="172" fontId="5" fillId="35" borderId="0" xfId="46" applyFont="1" applyFill="1" applyAlignment="1">
      <alignment/>
    </xf>
    <xf numFmtId="0" fontId="0" fillId="35" borderId="0" xfId="0" applyFill="1" applyBorder="1" applyAlignment="1">
      <alignment/>
    </xf>
    <xf numFmtId="172" fontId="0" fillId="35" borderId="0" xfId="46" applyFill="1" applyBorder="1" applyAlignment="1">
      <alignment/>
    </xf>
    <xf numFmtId="172" fontId="1" fillId="35" borderId="0" xfId="46" applyFont="1" applyFill="1" applyBorder="1" applyAlignment="1">
      <alignment/>
    </xf>
    <xf numFmtId="172" fontId="9" fillId="35" borderId="0" xfId="46" applyFont="1" applyFill="1" applyBorder="1" applyAlignment="1">
      <alignment/>
    </xf>
    <xf numFmtId="172" fontId="0" fillId="35" borderId="0" xfId="46" applyFont="1" applyFill="1" applyBorder="1" applyAlignment="1">
      <alignment/>
    </xf>
    <xf numFmtId="0" fontId="35" fillId="35" borderId="0" xfId="0" applyFont="1" applyFill="1" applyAlignment="1">
      <alignment/>
    </xf>
    <xf numFmtId="0" fontId="33" fillId="35" borderId="0" xfId="0" applyFont="1" applyFill="1" applyAlignment="1">
      <alignment/>
    </xf>
    <xf numFmtId="172" fontId="0" fillId="35" borderId="0" xfId="46" applyFont="1" applyFill="1" applyAlignment="1">
      <alignment/>
    </xf>
    <xf numFmtId="0" fontId="1" fillId="35" borderId="0" xfId="0" applyFont="1" applyFill="1" applyAlignment="1">
      <alignment/>
    </xf>
    <xf numFmtId="174" fontId="3" fillId="0" borderId="0" xfId="49" applyNumberFormat="1" applyAlignment="1" applyProtection="1">
      <alignment/>
      <protection/>
    </xf>
    <xf numFmtId="0" fontId="33" fillId="0" borderId="0" xfId="0" applyFont="1" applyAlignment="1">
      <alignment horizontal="right"/>
    </xf>
    <xf numFmtId="0" fontId="20" fillId="37" borderId="0" xfId="0" applyFont="1" applyFill="1" applyAlignment="1">
      <alignment/>
    </xf>
    <xf numFmtId="178" fontId="20" fillId="37" borderId="0" xfId="0" applyNumberFormat="1" applyFont="1" applyFill="1" applyAlignment="1">
      <alignment/>
    </xf>
    <xf numFmtId="0" fontId="20" fillId="37" borderId="10" xfId="0" applyFont="1" applyFill="1" applyBorder="1" applyAlignment="1">
      <alignment/>
    </xf>
    <xf numFmtId="177" fontId="20" fillId="37" borderId="11" xfId="0" applyNumberFormat="1" applyFont="1" applyFill="1" applyBorder="1" applyAlignment="1">
      <alignment/>
    </xf>
    <xf numFmtId="177" fontId="20" fillId="37" borderId="0" xfId="0" applyNumberFormat="1" applyFont="1" applyFill="1" applyBorder="1" applyAlignment="1">
      <alignment/>
    </xf>
    <xf numFmtId="9" fontId="20" fillId="37" borderId="0" xfId="52" applyFont="1" applyFill="1" applyBorder="1" applyAlignment="1">
      <alignment/>
    </xf>
    <xf numFmtId="178" fontId="20" fillId="37" borderId="11" xfId="0" applyNumberFormat="1" applyFont="1" applyFill="1" applyBorder="1" applyAlignment="1">
      <alignment/>
    </xf>
    <xf numFmtId="177" fontId="20" fillId="37" borderId="10" xfId="0" applyNumberFormat="1" applyFont="1" applyFill="1" applyBorder="1" applyAlignment="1">
      <alignment/>
    </xf>
    <xf numFmtId="0" fontId="47" fillId="0" borderId="0" xfId="0" applyFont="1" applyAlignment="1">
      <alignment/>
    </xf>
    <xf numFmtId="0" fontId="35" fillId="0" borderId="14" xfId="0" applyFont="1" applyBorder="1" applyAlignment="1">
      <alignment horizontal="center"/>
    </xf>
    <xf numFmtId="0" fontId="33" fillId="0" borderId="14" xfId="0" applyFont="1" applyBorder="1" applyAlignment="1">
      <alignment horizontal="center"/>
    </xf>
    <xf numFmtId="172" fontId="35" fillId="0" borderId="14" xfId="46" applyFont="1" applyBorder="1" applyAlignment="1">
      <alignment horizontal="center"/>
    </xf>
    <xf numFmtId="172" fontId="33" fillId="0" borderId="14" xfId="46" applyFont="1" applyBorder="1" applyAlignment="1">
      <alignment horizontal="center"/>
    </xf>
    <xf numFmtId="172" fontId="35" fillId="0" borderId="0" xfId="46" applyFont="1" applyBorder="1" applyAlignment="1">
      <alignment horizontal="center"/>
    </xf>
    <xf numFmtId="172" fontId="33" fillId="0" borderId="0" xfId="46" applyFont="1" applyBorder="1" applyAlignment="1">
      <alignment horizontal="center"/>
    </xf>
    <xf numFmtId="0" fontId="35" fillId="0" borderId="0" xfId="0" applyFont="1" applyBorder="1" applyAlignment="1">
      <alignment horizontal="center"/>
    </xf>
    <xf numFmtId="0" fontId="33" fillId="0" borderId="0" xfId="0" applyFont="1" applyBorder="1" applyAlignment="1">
      <alignment horizontal="center"/>
    </xf>
    <xf numFmtId="174" fontId="35" fillId="38" borderId="16" xfId="46" applyNumberFormat="1" applyFont="1" applyFill="1" applyBorder="1" applyAlignment="1">
      <alignment horizontal="right"/>
    </xf>
    <xf numFmtId="174" fontId="13" fillId="38" borderId="16" xfId="46" applyNumberFormat="1" applyFont="1" applyFill="1" applyBorder="1" applyAlignment="1">
      <alignment horizontal="right"/>
    </xf>
    <xf numFmtId="174" fontId="33" fillId="38" borderId="16" xfId="46" applyNumberFormat="1" applyFont="1" applyFill="1" applyBorder="1" applyAlignment="1">
      <alignment horizontal="right"/>
    </xf>
    <xf numFmtId="174" fontId="13" fillId="38" borderId="17" xfId="46" applyNumberFormat="1" applyFont="1" applyFill="1" applyBorder="1" applyAlignment="1">
      <alignment horizontal="right"/>
    </xf>
    <xf numFmtId="172" fontId="36" fillId="0" borderId="13" xfId="46" applyFont="1" applyBorder="1" applyAlignment="1">
      <alignment horizontal="center"/>
    </xf>
    <xf numFmtId="172" fontId="34" fillId="0" borderId="15" xfId="46" applyFont="1" applyBorder="1" applyAlignment="1">
      <alignment horizontal="center"/>
    </xf>
    <xf numFmtId="172" fontId="36" fillId="0" borderId="10" xfId="46" applyFont="1" applyBorder="1" applyAlignment="1">
      <alignment horizontal="center"/>
    </xf>
    <xf numFmtId="172" fontId="34" fillId="0" borderId="11" xfId="46" applyFont="1" applyBorder="1" applyAlignment="1">
      <alignment horizontal="center"/>
    </xf>
    <xf numFmtId="174" fontId="36" fillId="38" borderId="12" xfId="46" applyNumberFormat="1" applyFont="1" applyFill="1" applyBorder="1" applyAlignment="1">
      <alignment horizontal="right"/>
    </xf>
    <xf numFmtId="174" fontId="34" fillId="38" borderId="17" xfId="46" applyNumberFormat="1" applyFont="1" applyFill="1" applyBorder="1" applyAlignment="1">
      <alignment horizontal="right"/>
    </xf>
    <xf numFmtId="0" fontId="48" fillId="0" borderId="15" xfId="0" applyFont="1" applyBorder="1" applyAlignment="1">
      <alignment horizontal="center"/>
    </xf>
    <xf numFmtId="0" fontId="48" fillId="0" borderId="11" xfId="0" applyFont="1" applyBorder="1" applyAlignment="1">
      <alignment horizontal="center"/>
    </xf>
    <xf numFmtId="174" fontId="48" fillId="38" borderId="17" xfId="0" applyNumberFormat="1" applyFont="1" applyFill="1" applyBorder="1" applyAlignment="1">
      <alignment horizontal="center"/>
    </xf>
    <xf numFmtId="0" fontId="0" fillId="37" borderId="0" xfId="0" applyFill="1" applyAlignment="1">
      <alignment/>
    </xf>
    <xf numFmtId="0" fontId="1" fillId="37" borderId="0" xfId="0" applyFont="1" applyFill="1" applyAlignment="1">
      <alignment/>
    </xf>
    <xf numFmtId="0" fontId="4" fillId="37" borderId="0" xfId="0" applyFont="1" applyFill="1" applyAlignment="1">
      <alignment/>
    </xf>
    <xf numFmtId="172" fontId="0" fillId="37" borderId="0" xfId="46" applyFill="1" applyAlignment="1">
      <alignment/>
    </xf>
    <xf numFmtId="172" fontId="0" fillId="37" borderId="0" xfId="46" applyFont="1" applyFill="1" applyAlignment="1">
      <alignment/>
    </xf>
    <xf numFmtId="172" fontId="1" fillId="37" borderId="0" xfId="46" applyFont="1" applyFill="1" applyAlignment="1">
      <alignment/>
    </xf>
    <xf numFmtId="172" fontId="5" fillId="37" borderId="0" xfId="46" applyFont="1" applyFill="1" applyAlignment="1">
      <alignment/>
    </xf>
    <xf numFmtId="172" fontId="9" fillId="37" borderId="0" xfId="46" applyFont="1" applyFill="1" applyAlignment="1">
      <alignment/>
    </xf>
    <xf numFmtId="172" fontId="0" fillId="37" borderId="0" xfId="46" applyFont="1" applyFill="1" applyBorder="1" applyAlignment="1">
      <alignment/>
    </xf>
    <xf numFmtId="172" fontId="9" fillId="37" borderId="0" xfId="46" applyFont="1" applyFill="1" applyBorder="1" applyAlignment="1">
      <alignment/>
    </xf>
    <xf numFmtId="172" fontId="13" fillId="37" borderId="0" xfId="46" applyFont="1" applyFill="1" applyBorder="1" applyAlignment="1">
      <alignment/>
    </xf>
    <xf numFmtId="174" fontId="0" fillId="0" borderId="0" xfId="46" applyNumberFormat="1" applyAlignment="1">
      <alignment/>
    </xf>
    <xf numFmtId="173" fontId="0" fillId="0" borderId="0" xfId="0" applyNumberFormat="1" applyAlignment="1">
      <alignment/>
    </xf>
    <xf numFmtId="0" fontId="0" fillId="0" borderId="0" xfId="0" applyAlignment="1" quotePrefix="1">
      <alignment/>
    </xf>
    <xf numFmtId="9" fontId="0" fillId="0" borderId="0" xfId="0" applyNumberFormat="1" applyAlignment="1">
      <alignment/>
    </xf>
    <xf numFmtId="178" fontId="0" fillId="0" borderId="0" xfId="0" applyNumberFormat="1" applyAlignment="1">
      <alignment/>
    </xf>
    <xf numFmtId="0" fontId="44" fillId="0" borderId="0" xfId="49" applyFont="1" applyAlignment="1" applyProtection="1">
      <alignment horizontal="left"/>
      <protection/>
    </xf>
    <xf numFmtId="185" fontId="32" fillId="0" borderId="0" xfId="52" applyNumberFormat="1" applyFont="1" applyAlignment="1">
      <alignment vertical="top"/>
    </xf>
    <xf numFmtId="174" fontId="1" fillId="0" borderId="0" xfId="46" applyNumberFormat="1" applyFont="1" applyAlignment="1">
      <alignment/>
    </xf>
    <xf numFmtId="0" fontId="0" fillId="0" borderId="0" xfId="0" applyFont="1" applyAlignment="1">
      <alignment horizontal="left"/>
    </xf>
    <xf numFmtId="0" fontId="113" fillId="0" borderId="0" xfId="0" applyFont="1" applyAlignment="1">
      <alignment/>
    </xf>
    <xf numFmtId="1" fontId="113" fillId="0" borderId="0" xfId="0" applyNumberFormat="1" applyFont="1" applyAlignment="1">
      <alignment/>
    </xf>
    <xf numFmtId="1" fontId="113" fillId="0" borderId="0" xfId="46" applyNumberFormat="1" applyFont="1" applyAlignment="1">
      <alignment/>
    </xf>
    <xf numFmtId="8" fontId="113" fillId="0" borderId="0" xfId="0" applyNumberFormat="1" applyFont="1" applyAlignment="1">
      <alignment/>
    </xf>
    <xf numFmtId="0" fontId="113" fillId="0" borderId="0" xfId="0" applyFont="1" applyAlignment="1">
      <alignment horizontal="right"/>
    </xf>
    <xf numFmtId="174" fontId="35" fillId="39" borderId="0" xfId="46" applyNumberFormat="1" applyFont="1" applyFill="1" applyBorder="1" applyAlignment="1">
      <alignment horizontal="right"/>
    </xf>
    <xf numFmtId="0" fontId="13" fillId="0" borderId="0" xfId="0" applyFont="1" applyAlignment="1">
      <alignment horizontal="right"/>
    </xf>
    <xf numFmtId="172" fontId="114" fillId="0" borderId="0" xfId="46" applyFont="1" applyAlignment="1">
      <alignment/>
    </xf>
    <xf numFmtId="172" fontId="114" fillId="0" borderId="0" xfId="46" applyFont="1" applyAlignment="1">
      <alignment horizontal="left"/>
    </xf>
    <xf numFmtId="0" fontId="44" fillId="0" borderId="0" xfId="49" applyFont="1" applyFill="1" applyAlignment="1" applyProtection="1">
      <alignment/>
      <protection/>
    </xf>
    <xf numFmtId="0" fontId="1" fillId="0" borderId="20" xfId="0" applyFont="1" applyBorder="1" applyAlignment="1">
      <alignment horizontal="right"/>
    </xf>
    <xf numFmtId="14" fontId="0" fillId="0" borderId="0" xfId="0" applyNumberFormat="1" applyFont="1" applyFill="1" applyBorder="1" applyAlignment="1" quotePrefix="1">
      <alignment horizontal="left"/>
    </xf>
    <xf numFmtId="0" fontId="0" fillId="0" borderId="0" xfId="0" applyFont="1" applyAlignment="1">
      <alignment horizontal="right"/>
    </xf>
    <xf numFmtId="14" fontId="0" fillId="0" borderId="0" xfId="0" applyNumberFormat="1" applyFont="1" applyFill="1" applyBorder="1" applyAlignment="1">
      <alignment horizontal="right"/>
    </xf>
    <xf numFmtId="0" fontId="35" fillId="0" borderId="0" xfId="0" applyFont="1" applyAlignment="1">
      <alignment/>
    </xf>
    <xf numFmtId="174" fontId="35" fillId="39" borderId="0" xfId="46" applyNumberFormat="1" applyFont="1" applyFill="1" applyAlignment="1">
      <alignment/>
    </xf>
    <xf numFmtId="174" fontId="33" fillId="39" borderId="0" xfId="46" applyNumberFormat="1" applyFont="1" applyFill="1" applyAlignment="1">
      <alignment/>
    </xf>
    <xf numFmtId="8" fontId="113" fillId="39" borderId="0" xfId="0" applyNumberFormat="1" applyFont="1" applyFill="1" applyAlignment="1">
      <alignment/>
    </xf>
    <xf numFmtId="172" fontId="113" fillId="39" borderId="0" xfId="46" applyFont="1" applyFill="1" applyAlignment="1">
      <alignment/>
    </xf>
    <xf numFmtId="174" fontId="33" fillId="40" borderId="0" xfId="46" applyNumberFormat="1" applyFont="1" applyFill="1" applyAlignment="1">
      <alignment horizontal="right"/>
    </xf>
    <xf numFmtId="174" fontId="33" fillId="40" borderId="0" xfId="46" applyNumberFormat="1" applyFont="1" applyFill="1" applyAlignment="1">
      <alignment/>
    </xf>
    <xf numFmtId="0" fontId="115" fillId="0" borderId="0" xfId="0" applyFont="1" applyAlignment="1">
      <alignment/>
    </xf>
    <xf numFmtId="174" fontId="34" fillId="39" borderId="11" xfId="46" applyNumberFormat="1" applyFont="1" applyFill="1" applyBorder="1" applyAlignment="1">
      <alignment horizontal="right"/>
    </xf>
    <xf numFmtId="174" fontId="35" fillId="0" borderId="0" xfId="46" applyNumberFormat="1" applyFont="1" applyFill="1" applyBorder="1" applyAlignment="1">
      <alignment horizontal="right"/>
    </xf>
    <xf numFmtId="174" fontId="33" fillId="0" borderId="0" xfId="46" applyNumberFormat="1" applyFont="1" applyFill="1" applyBorder="1" applyAlignment="1">
      <alignment horizontal="right"/>
    </xf>
    <xf numFmtId="174" fontId="36" fillId="0" borderId="10" xfId="46" applyNumberFormat="1" applyFont="1" applyFill="1" applyBorder="1" applyAlignment="1">
      <alignment horizontal="right"/>
    </xf>
    <xf numFmtId="174" fontId="48" fillId="0" borderId="11" xfId="0" applyNumberFormat="1" applyFont="1" applyFill="1" applyBorder="1" applyAlignment="1">
      <alignment horizontal="center"/>
    </xf>
    <xf numFmtId="0" fontId="116" fillId="0" borderId="14" xfId="0" applyFont="1" applyBorder="1" applyAlignment="1">
      <alignment horizontal="center"/>
    </xf>
    <xf numFmtId="0" fontId="116" fillId="0" borderId="15" xfId="0" applyFont="1" applyBorder="1" applyAlignment="1">
      <alignment horizontal="center"/>
    </xf>
    <xf numFmtId="0" fontId="116" fillId="0" borderId="0" xfId="0" applyFont="1" applyBorder="1" applyAlignment="1">
      <alignment horizontal="center"/>
    </xf>
    <xf numFmtId="0" fontId="116" fillId="0" borderId="11" xfId="0" applyFont="1" applyBorder="1" applyAlignment="1">
      <alignment horizontal="center"/>
    </xf>
    <xf numFmtId="174" fontId="116" fillId="0" borderId="0" xfId="46" applyNumberFormat="1" applyFont="1" applyFill="1" applyBorder="1" applyAlignment="1">
      <alignment horizontal="right"/>
    </xf>
    <xf numFmtId="174" fontId="116" fillId="0" borderId="11" xfId="46" applyNumberFormat="1" applyFont="1" applyFill="1" applyBorder="1" applyAlignment="1">
      <alignment horizontal="right"/>
    </xf>
    <xf numFmtId="0" fontId="117" fillId="0" borderId="14" xfId="0" applyFont="1" applyBorder="1" applyAlignment="1">
      <alignment horizontal="center"/>
    </xf>
    <xf numFmtId="0" fontId="117" fillId="0" borderId="15" xfId="0" applyFont="1" applyBorder="1" applyAlignment="1">
      <alignment horizontal="center"/>
    </xf>
    <xf numFmtId="0" fontId="117" fillId="0" borderId="0" xfId="0" applyFont="1" applyBorder="1" applyAlignment="1">
      <alignment horizontal="center"/>
    </xf>
    <xf numFmtId="0" fontId="117" fillId="0" borderId="11" xfId="0" applyFont="1" applyBorder="1" applyAlignment="1">
      <alignment horizontal="center"/>
    </xf>
    <xf numFmtId="174" fontId="117" fillId="0" borderId="0" xfId="46" applyNumberFormat="1" applyFont="1" applyFill="1" applyBorder="1" applyAlignment="1">
      <alignment horizontal="right"/>
    </xf>
    <xf numFmtId="174" fontId="117" fillId="0" borderId="11" xfId="46" applyNumberFormat="1" applyFont="1" applyFill="1" applyBorder="1" applyAlignment="1">
      <alignment horizontal="right"/>
    </xf>
    <xf numFmtId="0" fontId="1" fillId="0" borderId="25" xfId="0" applyFont="1" applyBorder="1" applyAlignment="1">
      <alignment horizontal="center"/>
    </xf>
    <xf numFmtId="0" fontId="1" fillId="0" borderId="26" xfId="0" applyFont="1" applyBorder="1" applyAlignment="1">
      <alignment horizontal="center"/>
    </xf>
    <xf numFmtId="174" fontId="118" fillId="38" borderId="17" xfId="46" applyNumberFormat="1" applyFont="1" applyFill="1" applyBorder="1" applyAlignment="1">
      <alignment horizontal="right"/>
    </xf>
    <xf numFmtId="174" fontId="118" fillId="38" borderId="0" xfId="46" applyNumberFormat="1" applyFont="1" applyFill="1" applyBorder="1" applyAlignment="1">
      <alignment horizontal="right"/>
    </xf>
    <xf numFmtId="174" fontId="118" fillId="38" borderId="16" xfId="46" applyNumberFormat="1" applyFont="1" applyFill="1" applyBorder="1" applyAlignment="1">
      <alignment horizontal="right"/>
    </xf>
    <xf numFmtId="0" fontId="119" fillId="38" borderId="27" xfId="0" applyFont="1" applyFill="1" applyBorder="1" applyAlignment="1">
      <alignment horizontal="center"/>
    </xf>
    <xf numFmtId="172" fontId="35" fillId="0" borderId="0" xfId="46" applyFont="1" applyBorder="1" applyAlignment="1">
      <alignment horizontal="center"/>
    </xf>
    <xf numFmtId="0" fontId="35" fillId="0" borderId="0" xfId="0" applyFont="1" applyBorder="1" applyAlignment="1">
      <alignment horizontal="center"/>
    </xf>
    <xf numFmtId="0" fontId="35" fillId="0" borderId="0" xfId="0" applyFont="1" applyAlignment="1">
      <alignment horizontal="center"/>
    </xf>
    <xf numFmtId="172" fontId="35" fillId="0" borderId="0" xfId="46" applyFont="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19" fillId="38" borderId="16" xfId="0" applyFont="1" applyFill="1" applyBorder="1" applyAlignment="1">
      <alignment horizontal="center"/>
    </xf>
    <xf numFmtId="0" fontId="2" fillId="0" borderId="10" xfId="0" applyFont="1" applyBorder="1" applyAlignment="1">
      <alignment/>
    </xf>
    <xf numFmtId="174" fontId="120" fillId="38" borderId="0" xfId="46" applyNumberFormat="1" applyFont="1" applyFill="1" applyBorder="1" applyAlignment="1">
      <alignment horizontal="center"/>
    </xf>
    <xf numFmtId="174" fontId="121" fillId="38" borderId="0" xfId="46" applyNumberFormat="1" applyFont="1" applyFill="1" applyBorder="1" applyAlignment="1">
      <alignment horizontal="left"/>
    </xf>
    <xf numFmtId="174" fontId="121" fillId="38" borderId="0" xfId="46" applyNumberFormat="1" applyFont="1" applyFill="1" applyBorder="1" applyAlignment="1">
      <alignment horizontal="center"/>
    </xf>
    <xf numFmtId="172" fontId="7" fillId="0" borderId="13" xfId="46"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4" fontId="1" fillId="0" borderId="10" xfId="46" applyNumberFormat="1" applyFont="1" applyBorder="1" applyAlignment="1">
      <alignment/>
    </xf>
    <xf numFmtId="0" fontId="0" fillId="0" borderId="0" xfId="0" applyAlignment="1">
      <alignment/>
    </xf>
    <xf numFmtId="0" fontId="7" fillId="0" borderId="13" xfId="46" applyNumberFormat="1"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7"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13" fillId="0" borderId="0" xfId="0" applyFont="1" applyFill="1" applyAlignment="1">
      <alignment/>
    </xf>
    <xf numFmtId="8" fontId="113" fillId="0" borderId="0" xfId="0" applyNumberFormat="1" applyFont="1" applyFill="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a:t>
            </a:r>
          </a:p>
        </c:rich>
      </c:tx>
      <c:layout>
        <c:manualLayout>
          <c:xMode val="factor"/>
          <c:yMode val="factor"/>
          <c:x val="0.0035"/>
          <c:y val="-0.0045"/>
        </c:manualLayout>
      </c:layout>
      <c:spPr>
        <a:noFill/>
        <a:ln>
          <a:noFill/>
        </a:ln>
      </c:spPr>
    </c:title>
    <c:plotArea>
      <c:layout>
        <c:manualLayout>
          <c:xMode val="edge"/>
          <c:yMode val="edge"/>
          <c:x val="0.09575"/>
          <c:y val="0.1575"/>
          <c:w val="0.832"/>
          <c:h val="0.75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322800"/>
                  </a:gs>
                  <a:gs pos="100000">
                    <a:srgbClr val="FFCC00"/>
                  </a:gs>
                </a:gsLst>
                <a:lin ang="5400000" scaled="1"/>
              </a:gradFill>
              <a:ln w="12700">
                <a:solidFill>
                  <a:srgbClr val="000000"/>
                </a:solidFill>
              </a:ln>
            </c:spPr>
          </c:dPt>
          <c:dPt>
            <c:idx val="1"/>
            <c:invertIfNegative val="0"/>
            <c:spPr>
              <a:gradFill rotWithShape="1">
                <a:gsLst>
                  <a:gs pos="0">
                    <a:srgbClr val="001800"/>
                  </a:gs>
                  <a:gs pos="100000">
                    <a:srgbClr val="003300"/>
                  </a:gs>
                </a:gsLst>
                <a:lin ang="5400000" scaled="1"/>
              </a:gradFill>
              <a:ln w="12700">
                <a:solidFill>
                  <a:srgbClr val="000000"/>
                </a:solidFill>
              </a:ln>
            </c:spPr>
          </c:dPt>
          <c:dPt>
            <c:idx val="2"/>
            <c:invertIfNegative val="0"/>
            <c:spPr>
              <a:gradFill rotWithShape="1">
                <a:gsLst>
                  <a:gs pos="0">
                    <a:srgbClr val="1A1A1A"/>
                  </a:gs>
                  <a:gs pos="100000">
                    <a:srgbClr val="C0C0C0"/>
                  </a:gs>
                </a:gsLst>
                <a:lin ang="5400000" scaled="1"/>
              </a:gradFill>
              <a:ln w="12700">
                <a:solidFill>
                  <a:srgbClr val="000000"/>
                </a:solidFill>
              </a:ln>
            </c:spPr>
          </c:dPt>
          <c:dPt>
            <c:idx val="3"/>
            <c:invertIfNegative val="0"/>
            <c:spPr>
              <a:gradFill rotWithShape="1">
                <a:gsLst>
                  <a:gs pos="0">
                    <a:srgbClr val="500000"/>
                  </a:gs>
                  <a:gs pos="100000">
                    <a:srgbClr val="FF0000"/>
                  </a:gs>
                </a:gsLst>
                <a:lin ang="5400000" scaled="1"/>
              </a:gra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FF0000"/>
              </a:solidFill>
              <a:ln w="12700">
                <a:solidFill>
                  <a:srgbClr val="000000"/>
                </a:solidFill>
              </a:ln>
            </c:spPr>
          </c:dPt>
          <c:dPt>
            <c:idx val="6"/>
            <c:invertIfNegative val="0"/>
            <c:spPr>
              <a:solidFill>
                <a:srgbClr val="FF9900"/>
              </a:solidFill>
              <a:ln w="12700">
                <a:solidFill>
                  <a:srgbClr val="000000"/>
                </a:solidFill>
              </a:ln>
            </c:spPr>
          </c:dPt>
          <c:dPt>
            <c:idx val="7"/>
            <c:invertIfNegative val="0"/>
            <c:spPr>
              <a:solidFill>
                <a:srgbClr val="000080"/>
              </a:solidFill>
              <a:ln w="12700">
                <a:solidFill>
                  <a:srgbClr val="000000"/>
                </a:solidFill>
              </a:ln>
            </c:spPr>
          </c:dPt>
          <c:dPt>
            <c:idx val="8"/>
            <c:invertIfNegative val="0"/>
            <c:spPr>
              <a:solidFill>
                <a:srgbClr val="00CCFF"/>
              </a:solidFill>
              <a:ln w="12700">
                <a:solidFill>
                  <a:srgbClr val="000000"/>
                </a:solidFill>
              </a:ln>
            </c:spPr>
          </c:dPt>
          <c:dPt>
            <c:idx val="9"/>
            <c:invertIfNegative val="0"/>
            <c:spPr>
              <a:solidFill>
                <a:srgbClr val="FF0000"/>
              </a:solidFill>
              <a:ln w="12700">
                <a:solidFill>
                  <a:srgbClr val="000000"/>
                </a:solidFill>
              </a:ln>
            </c:spPr>
          </c:dPt>
          <c:cat>
            <c:strRef>
              <c:f>DurchschnJahresnettoeinkommen!$A$16:$A$19</c:f>
              <c:strCache/>
            </c:strRef>
          </c:cat>
          <c:val>
            <c:numRef>
              <c:f>DurchschnJahresnettoeinkommen!$B$16:$B$19</c:f>
              <c:numCache/>
            </c:numRef>
          </c:val>
        </c:ser>
        <c:axId val="52979130"/>
        <c:axId val="7050123"/>
      </c:barChart>
      <c:catAx>
        <c:axId val="5297913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Eingruppierung</a:t>
                </a:r>
              </a:p>
            </c:rich>
          </c:tx>
          <c:layout>
            <c:manualLayout>
              <c:xMode val="factor"/>
              <c:yMode val="factor"/>
              <c:x val="-0.041"/>
              <c:y val="-0.009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050123"/>
        <c:crosses val="autoZero"/>
        <c:auto val="1"/>
        <c:lblOffset val="100"/>
        <c:tickLblSkip val="1"/>
        <c:noMultiLvlLbl val="0"/>
      </c:catAx>
      <c:valAx>
        <c:axId val="7050123"/>
        <c:scaling>
          <c:orientation val="minMax"/>
          <c:min val="28000"/>
        </c:scaling>
        <c:axPos val="l"/>
        <c:title>
          <c:tx>
            <c:rich>
              <a:bodyPr vert="horz" rot="-5400000" anchor="ctr"/>
              <a:lstStyle/>
              <a:p>
                <a:pPr algn="ctr">
                  <a:defRPr/>
                </a:pPr>
                <a:r>
                  <a:rPr lang="en-US" cap="none" sz="950" b="1" i="0" u="none" baseline="0">
                    <a:solidFill>
                      <a:srgbClr val="000000"/>
                    </a:solidFill>
                    <a:latin typeface="Arial"/>
                    <a:ea typeface="Arial"/>
                    <a:cs typeface="Arial"/>
                  </a:rPr>
                  <a:t>durchschnittliches 
</a:t>
                </a:r>
                <a:r>
                  <a:rPr lang="en-US" cap="none" sz="950" b="1" i="0" u="none" baseline="0">
                    <a:solidFill>
                      <a:srgbClr val="000000"/>
                    </a:solidFill>
                    <a:latin typeface="Arial"/>
                    <a:ea typeface="Arial"/>
                    <a:cs typeface="Arial"/>
                  </a:rPr>
                  <a:t>Jahresnettoeinkommen in €</a:t>
                </a:r>
              </a:p>
            </c:rich>
          </c:tx>
          <c:layout>
            <c:manualLayout>
              <c:xMode val="factor"/>
              <c:yMode val="factor"/>
              <c:x val="-0.015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979130"/>
        <c:crossesAt val="1"/>
        <c:crossBetween val="between"/>
        <c:dispUnits/>
      </c:valAx>
      <c:spPr>
        <a:gradFill rotWithShape="1">
          <a:gsLst>
            <a:gs pos="0">
              <a:srgbClr val="EEEEEE"/>
            </a:gs>
            <a:gs pos="100000">
              <a:srgbClr val="C0C0C0"/>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Entwicklung des Jahresnettoeinkommens einer ledigen, kinderlosen Gymnasiallehrkraft in Berlin </a:t>
            </a:r>
            <a:r>
              <a:rPr lang="en-US" cap="none" sz="155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(Stand 01.10.2018)</a:t>
            </a:r>
          </a:p>
        </c:rich>
      </c:tx>
      <c:layout>
        <c:manualLayout>
          <c:xMode val="factor"/>
          <c:yMode val="factor"/>
          <c:x val="0.028"/>
          <c:y val="-0.0125"/>
        </c:manualLayout>
      </c:layout>
      <c:spPr>
        <a:noFill/>
        <a:ln>
          <a:noFill/>
        </a:ln>
      </c:spPr>
    </c:title>
    <c:plotArea>
      <c:layout>
        <c:manualLayout>
          <c:xMode val="edge"/>
          <c:yMode val="edge"/>
          <c:x val="0.056"/>
          <c:y val="0.151"/>
          <c:w val="0.915"/>
          <c:h val="0.775"/>
        </c:manualLayout>
      </c:layout>
      <c:lineChart>
        <c:grouping val="standard"/>
        <c:varyColors val="0"/>
        <c:ser>
          <c:idx val="1"/>
          <c:order val="0"/>
          <c:tx>
            <c:strRef>
              <c:f>EntwJahresnettoeinkommen!$A$4</c:f>
              <c:strCache>
                <c:ptCount val="1"/>
                <c:pt idx="0">
                  <c:v>Jahr</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EntwJahresnettoeinkommen!$A$5:$A$44</c:f>
              <c:numCache/>
            </c:numRef>
          </c:val>
          <c:smooth val="0"/>
        </c:ser>
        <c:ser>
          <c:idx val="2"/>
          <c:order val="1"/>
          <c:tx>
            <c:strRef>
              <c:f>EntwJahresnettoeinkommen!$B$4</c:f>
              <c:strCache>
                <c:ptCount val="1"/>
                <c:pt idx="0">
                  <c:v>A13</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EntwJahresnettoeinkommen!$B$5:$B$44</c:f>
              <c:numCache/>
            </c:numRef>
          </c:val>
          <c:smooth val="0"/>
        </c:ser>
        <c:ser>
          <c:idx val="3"/>
          <c:order val="2"/>
          <c:tx>
            <c:strRef>
              <c:f>EntwJahresnettoeinkommen!$C$4</c:f>
              <c:strCache>
                <c:ptCount val="1"/>
                <c:pt idx="0">
                  <c:v>E13 Tarif</c:v>
                </c:pt>
              </c:strCache>
            </c:strRef>
          </c:tx>
          <c:spPr>
            <a:ln w="38100">
              <a:solidFill>
                <a:srgbClr val="333333"/>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noFill/>
              </a:ln>
              <a:effectLst>
                <a:outerShdw dist="35921" dir="2700000" algn="br">
                  <a:prstClr val="black"/>
                </a:outerShdw>
              </a:effectLst>
            </c:spPr>
          </c:marker>
          <c:val>
            <c:numRef>
              <c:f>EntwJahresnettoeinkommen!$C$5:$C$44</c:f>
              <c:numCache/>
            </c:numRef>
          </c:val>
          <c:smooth val="0"/>
        </c:ser>
        <c:ser>
          <c:idx val="5"/>
          <c:order val="3"/>
          <c:tx>
            <c:strRef>
              <c:f>EntwJahresnettoeinkommen!$D$4</c:f>
              <c:strCache>
                <c:ptCount val="1"/>
                <c:pt idx="0">
                  <c:v>E13 Stufe 5</c:v>
                </c:pt>
              </c:strCache>
            </c:strRef>
          </c:tx>
          <c:spPr>
            <a:ln w="381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EntwJahresnettoeinkommen!$D$5:$D$44</c:f>
              <c:numCache/>
            </c:numRef>
          </c:val>
          <c:smooth val="0"/>
        </c:ser>
        <c:ser>
          <c:idx val="0"/>
          <c:order val="4"/>
          <c:tx>
            <c:strRef>
              <c:f>EntwJahresnettoeinkommen!$E$4</c:f>
              <c:strCache>
                <c:ptCount val="1"/>
                <c:pt idx="0">
                  <c:v>E13 Zulagen max</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EntwJahresnettoeinkommen!$E$5:$E$44</c:f>
              <c:numCache/>
            </c:numRef>
          </c:val>
          <c:smooth val="0"/>
        </c:ser>
        <c:marker val="1"/>
        <c:axId val="63451108"/>
        <c:axId val="34189061"/>
      </c:lineChart>
      <c:catAx>
        <c:axId val="63451108"/>
        <c:scaling>
          <c:orientation val="minMax"/>
        </c:scaling>
        <c:axPos val="b"/>
        <c:title>
          <c:tx>
            <c:rich>
              <a:bodyPr vert="horz" rot="0" anchor="ctr"/>
              <a:lstStyle/>
              <a:p>
                <a:pPr algn="ctr">
                  <a:defRPr/>
                </a:pPr>
                <a:r>
                  <a:rPr lang="en-US" cap="none" sz="1250" b="1" i="0" u="none" baseline="0">
                    <a:solidFill>
                      <a:srgbClr val="000000"/>
                    </a:solidFill>
                    <a:latin typeface="Arial"/>
                    <a:ea typeface="Arial"/>
                    <a:cs typeface="Arial"/>
                  </a:rPr>
                  <a:t>Dienstjahre</a:t>
                </a:r>
              </a:p>
            </c:rich>
          </c:tx>
          <c:layout>
            <c:manualLayout>
              <c:xMode val="factor"/>
              <c:yMode val="factor"/>
              <c:x val="-0.017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189061"/>
        <c:crosses val="autoZero"/>
        <c:auto val="1"/>
        <c:lblOffset val="100"/>
        <c:tickLblSkip val="3"/>
        <c:noMultiLvlLbl val="0"/>
      </c:catAx>
      <c:valAx>
        <c:axId val="34189061"/>
        <c:scaling>
          <c:orientation val="minMax"/>
          <c:max val="42000"/>
          <c:min val="22000"/>
        </c:scaling>
        <c:axPos val="l"/>
        <c:title>
          <c:tx>
            <c:rich>
              <a:bodyPr vert="horz" rot="-5400000" anchor="ctr"/>
              <a:lstStyle/>
              <a:p>
                <a:pPr algn="ctr">
                  <a:defRPr/>
                </a:pPr>
                <a:r>
                  <a:rPr lang="en-US" cap="none" sz="1250" b="1" i="0" u="none" baseline="0">
                    <a:solidFill>
                      <a:srgbClr val="000000"/>
                    </a:solidFill>
                    <a:latin typeface="Arial"/>
                    <a:ea typeface="Arial"/>
                    <a:cs typeface="Arial"/>
                  </a:rPr>
                  <a:t>Jahresnettoeinkommen in €</a:t>
                </a:r>
              </a:p>
            </c:rich>
          </c:tx>
          <c:layout>
            <c:manualLayout>
              <c:xMode val="factor"/>
              <c:yMode val="factor"/>
              <c:x val="-0.029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3451108"/>
        <c:crossesAt val="1"/>
        <c:crossBetween val="between"/>
        <c:dispUnits/>
      </c:valAx>
      <c:spPr>
        <a:solidFill>
          <a:srgbClr val="FFFFFF"/>
        </a:solidFill>
        <a:ln w="254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11</xdr:col>
      <xdr:colOff>133350</xdr:colOff>
      <xdr:row>11</xdr:row>
      <xdr:rowOff>85725</xdr:rowOff>
    </xdr:to>
    <xdr:sp>
      <xdr:nvSpPr>
        <xdr:cNvPr id="1" name="Text Box 2"/>
        <xdr:cNvSpPr txBox="1">
          <a:spLocks noChangeArrowheads="1"/>
        </xdr:cNvSpPr>
      </xdr:nvSpPr>
      <xdr:spPr>
        <a:xfrm>
          <a:off x="76200" y="66675"/>
          <a:ext cx="6172200" cy="5048250"/>
        </a:xfrm>
        <a:prstGeom prst="rect">
          <a:avLst/>
        </a:prstGeom>
        <a:solidFill>
          <a:srgbClr val="FFFF00"/>
        </a:solidFill>
        <a:ln w="9525" cmpd="sng">
          <a:solidFill>
            <a:srgbClr val="000000"/>
          </a:solidFill>
          <a:headEnd type="none"/>
          <a:tailEnd type="none"/>
        </a:ln>
      </xdr:spPr>
      <xdr:txBody>
        <a:bodyPr vertOverflow="clip" wrap="square" lIns="108000" tIns="36000" rIns="108000" bIns="0"/>
        <a:p>
          <a:pPr algn="l">
            <a:defRPr/>
          </a:pPr>
          <a:r>
            <a:rPr lang="en-US" cap="none" sz="1100" b="1" i="0" u="none" baseline="0">
              <a:solidFill>
                <a:srgbClr val="000000"/>
              </a:solidFill>
              <a:latin typeface="Arial"/>
              <a:ea typeface="Arial"/>
              <a:cs typeface="Arial"/>
            </a:rPr>
            <a:t>Modellberechnungen zum Lebenszeitnettoverdienst von Lehrkräfte mit der Laufbahnbefähigung für das Amt des Studienrats und Vorschlägen zur Annäherung 
</a:t>
          </a:r>
          <a:r>
            <a:rPr lang="en-US" cap="none" sz="1100" b="1" i="0" u="none" baseline="0">
              <a:solidFill>
                <a:srgbClr val="000000"/>
              </a:solidFill>
              <a:latin typeface="Arial"/>
              <a:ea typeface="Arial"/>
              <a:cs typeface="Arial"/>
            </a:rPr>
            <a:t>der Einkommenssituation</a:t>
          </a:r>
          <a:r>
            <a:rPr lang="en-US" cap="none" sz="11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in den folgenden Tabellenblättern dargelegten Modellberechnungen belegen, dass verbeamtete Studienräte in Berlin einen deutlich höheren Lebensarbeitszeitnettoverdienst haben als angestellte Lehrkräfte mit entsprechender Laufbahnbefähigung. Da der Senat nach wie vor verbeamtete Lehrerinnen und Lehrer aus anderen Bundesländern übernimmt, wird eine deutliche Ungleichbehandlung bei gleicher Eignung auch in Zukunft fortbestehen.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hier vorliegenden Berechnungen vergleichen in Modellberechnungen den Lebensarbeitszeitnettoverdienst einer zum 01.02.2016 angestellten Lehrkraft mit Laufbahnbefähigung für das Amt des Studienrats mit dem Lebensarbeitszeitnettoverdienst eines zum 01.02.2016 in einem anderen Bundesland verbeamteten Studien-rats, der nach der Verbeamtung auf Lebenszeit als Berliner Landesbeamter vereidigt wird. Dies ist eine Situation, mit der Berliner Lehrkräfte seit einigen Jahren konkret konfrontiert sind. Angenommen wird hier eine ledige, kinderlose Person (siehe auch Tabellenblatt "Annahmen zur Modellierung").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ergeben: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Heute verdient die angestellte Lehrkraft 3,6 durchschnittliche Jahresnettogehälter bzw. fast120.000€ netto weniger als ein verbeamteter Studienrat. Beendet der Senat die außertariflich Nebenabrede zur Vorweg-gewährung der Erfahrungsstufe 5, so beträgt die Differenz 5,2 Jahresnettogehälter bzw. fast 170.000€.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Zahlt man angestellten Lehrkräften mit der Befähigung für das Amt des Studienrats Zulagen gemäß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 (5) TV-L, so würde er über 40 Dienstjahre hinweg ein seinen verbeamteten Kollegen fast vergleichbares Netto-einkommen erhalten.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12</xdr:col>
      <xdr:colOff>219075</xdr:colOff>
      <xdr:row>16</xdr:row>
      <xdr:rowOff>323850</xdr:rowOff>
    </xdr:to>
    <xdr:sp>
      <xdr:nvSpPr>
        <xdr:cNvPr id="1" name="Text Box 1"/>
        <xdr:cNvSpPr txBox="1">
          <a:spLocks noChangeArrowheads="1"/>
        </xdr:cNvSpPr>
      </xdr:nvSpPr>
      <xdr:spPr>
        <a:xfrm>
          <a:off x="76200" y="47625"/>
          <a:ext cx="6562725" cy="7229475"/>
        </a:xfrm>
        <a:prstGeom prst="rect">
          <a:avLst/>
        </a:prstGeom>
        <a:solidFill>
          <a:srgbClr val="FFFFFF"/>
        </a:solidFill>
        <a:ln w="9525" cmpd="sng">
          <a:solidFill>
            <a:srgbClr val="000000"/>
          </a:solidFill>
          <a:headEnd type="none"/>
          <a:tailEnd type="none"/>
        </a:ln>
      </xdr:spPr>
      <xdr:txBody>
        <a:bodyPr vertOverflow="clip" wrap="square" lIns="108000" tIns="36000" rIns="108000" bIns="0"/>
        <a:p>
          <a:pPr algn="l">
            <a:defRPr/>
          </a:pPr>
          <a:r>
            <a:rPr lang="en-US" cap="none" sz="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Annahmen zur Modellierung</a:t>
          </a:r>
          <a:r>
            <a:rPr lang="en-US" cap="none" sz="10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die Berechnung des Lebensarbeitszeitnettoverdienstes wurden folgende Grundannahmen getroffen: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legen einen Schwerpunkt auf die Betrachtung von Nettoverdiensten. Dies trägt dem Umstand Rechnung, dass ein Arbeitnehmer seine Entscheidung für einen Arbeitsplatz und einen Arbeitgeber davon abhängig macht, was er sich von dem Nettoverdienst leisten kann, den ihm die Tätigkeit einbringt. Ein Vergleich von Bruttogehältern von Angestellten und Beamten wird dem nicht gerecht.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blenden sowohl zukünftige Wertminderungen des Gehalts durch Inflation als auch Lohnentwicklungen durch Anpassung der Entgelt- bzw. Besoldungstabellen aus, und ermöglichen es so, die derzeitige Situation als </a:t>
          </a:r>
          <a:r>
            <a:rPr lang="en-US" cap="none" sz="1000" b="1" i="0" u="none" baseline="0">
              <a:solidFill>
                <a:srgbClr val="000000"/>
              </a:solidFill>
              <a:latin typeface="Arial"/>
              <a:ea typeface="Arial"/>
              <a:cs typeface="Arial"/>
            </a:rPr>
            <a:t>„Schnappschuss“</a:t>
          </a:r>
          <a:r>
            <a:rPr lang="en-US" cap="none" sz="1000" b="0" i="0" u="none" baseline="0">
              <a:solidFill>
                <a:srgbClr val="000000"/>
              </a:solidFill>
              <a:latin typeface="Arial"/>
              <a:ea typeface="Arial"/>
              <a:cs typeface="Arial"/>
            </a:rPr>
            <a:t> zu betrachten. Wir gehen dabei davon aus, dass die im Überleitungstarifvertrag zugesicherte Anpassung an den bundesweiten TV-L um 3% bis 2017 mittelfristig eine Entsprechung in einer Anpassung der Besoldungstabellen finden wird.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gehen von einer ledigen und kinderlosen Person aus, da die Situation von Familien stark von individuellen Gegebenheiten wie der Berufstätigkeit des Partners und der Anzahl und Ausbildungsdauer der Kinder abhängt und sich daher schwerer vergleichen lässt. Zu Berücksichtigen wäre z. B., dass Beamten ein Familienzuschlag gewährt wird, sie Kinder aber zusätzlich privat versichern müssen.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wird von dem am häufigsten zu erwartenden Berufseinstieg nach Abschluss des Referendariats mit 27 Jahren ausgegangen. Bis zum Renteneintrittsalter von 67 Jahren stellt der berechnete Zeitraum 40 Dienstjahre dar. Die Einstellung bzw. Vereidigung erfolgte in den Modellberechnungen zum 01.02.2016 und stellt damit die Entscheidungsgrundlage heute fertig ausgebildeter „Junglehrer“ dar. Es wird davon ausgegangen, dass das Pensionseintrittsalter dem Renteneintrittsalter mit derzeit 67 Jahren angeglichen wird.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 der Nettoverdienste wurde mit Hilfe des Tarifrechners http://oeffentlicher-dienst.info von Markus Klenk  erstellt. Stichprobenartige Vergleiche mit tatsächlichen Gehaltsnachweisen belegen die Korrektheit des Tarifrechners. Angestellten wird dabei ein Beitrag zu einer Plicht-Zusatzrentenversicherung bei der Versorgungs-anstalt des Bundes und der Länder (VBL) abgezogen, der Angestellten nicht für den Lebensunterhalt zur Verfügung steht. Der Abzug dieser Beiträge ist in den hier dargestellten Nettoverdiensten berücksichtigt.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Beamte zahlen ihre Beiträge zur privaten Krankenversicherung (PKV) zur Absicherung von Krankheitskosten zu 50% selbst. Diese Kosten sind von dem ihnen ausgezahlten Nettoverdienst abzuziehen. Die Kosten für die Absicherung variieren stark, je nach Alter und Vorerkrankung. In den Modellberechnungen wird ein Beitrag von 
</a:t>
          </a:r>
          <a:r>
            <a:rPr lang="en-US" cap="none" sz="1000" b="0" i="0" u="none" baseline="0">
              <a:solidFill>
                <a:srgbClr val="000000"/>
              </a:solidFill>
              <a:latin typeface="Arial"/>
              <a:ea typeface="Arial"/>
              <a:cs typeface="Arial"/>
            </a:rPr>
            <a:t>210 € angenommen. Dies entspricht in etwa dem Arbeitnehmeranteil für den Höchstbeitrag zur gesetzlichen Krankenkasse. Nicht zuletzt aufgrund umfangreicher Beitragsrückerstattungen der privaten Krankenkassen in Jahren der Gesundheit ist davon auszugehen, dass es vielen jung in die PKV eingetretenen Beamten gelingen wird, deutlich weniger für die private Krankenversicherung aufzuwenden als in diesen Berechnungen angenommen. Andererseits steht auch Angestellten, deren Einkommen die Bemessungsgrenze überschreitet der Wechsel in die PKV offen, wobei diese die Hälfte der Kosten als Arbeitgeberanteil erhalten.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beschränken sich auf den während der Lebensarbeitszeit erworbenen Nettoverdienst. Aspekte der Ungleichbehandlung im Alter sind hier nicht betrachtet. Berechnungen von Bildet Berlin! haben ergeben, dass die Leistungen der staatlichen Rente plus Zusatzrente der VBL deutlich unterhalb der Pension eines verbeamteten Kollegen liegen, die sich nach der zuletzt erreichten Gehaltsstufe richtet. Würde jedoch das Nettoeinkommen durch entsprechende Zulagen angeglichen, erhöhen sich auch die Rentenleistungen derart, dass damit die derzeit bestehende Lücke in der Altersversorgung geschlossen würde.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285750</xdr:colOff>
      <xdr:row>4</xdr:row>
      <xdr:rowOff>647700</xdr:rowOff>
    </xdr:to>
    <xdr:sp>
      <xdr:nvSpPr>
        <xdr:cNvPr id="1" name="Rectangle 6"/>
        <xdr:cNvSpPr>
          <a:spLocks/>
        </xdr:cNvSpPr>
      </xdr:nvSpPr>
      <xdr:spPr>
        <a:xfrm>
          <a:off x="9525" y="9525"/>
          <a:ext cx="5524500" cy="413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0</xdr:row>
      <xdr:rowOff>238125</xdr:rowOff>
    </xdr:from>
    <xdr:to>
      <xdr:col>6</xdr:col>
      <xdr:colOff>9525</xdr:colOff>
      <xdr:row>4</xdr:row>
      <xdr:rowOff>285750</xdr:rowOff>
    </xdr:to>
    <xdr:graphicFrame>
      <xdr:nvGraphicFramePr>
        <xdr:cNvPr id="2" name="Diagramm 1"/>
        <xdr:cNvGraphicFramePr/>
      </xdr:nvGraphicFramePr>
      <xdr:xfrm>
        <a:off x="161925" y="238125"/>
        <a:ext cx="4333875" cy="35433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xdr:row>
      <xdr:rowOff>895350</xdr:rowOff>
    </xdr:from>
    <xdr:to>
      <xdr:col>1</xdr:col>
      <xdr:colOff>323850</xdr:colOff>
      <xdr:row>4</xdr:row>
      <xdr:rowOff>180975</xdr:rowOff>
    </xdr:to>
    <xdr:sp>
      <xdr:nvSpPr>
        <xdr:cNvPr id="3" name="Text Box 2"/>
        <xdr:cNvSpPr txBox="1">
          <a:spLocks noChangeArrowheads="1"/>
        </xdr:cNvSpPr>
      </xdr:nvSpPr>
      <xdr:spPr>
        <a:xfrm>
          <a:off x="285750" y="3486150"/>
          <a:ext cx="1257300" cy="19050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 2017 Bildet Berlin!</a:t>
          </a:r>
        </a:p>
      </xdr:txBody>
    </xdr:sp>
    <xdr:clientData/>
  </xdr:twoCellAnchor>
  <xdr:twoCellAnchor>
    <xdr:from>
      <xdr:col>0</xdr:col>
      <xdr:colOff>190500</xdr:colOff>
      <xdr:row>0</xdr:row>
      <xdr:rowOff>304800</xdr:rowOff>
    </xdr:from>
    <xdr:to>
      <xdr:col>5</xdr:col>
      <xdr:colOff>638175</xdr:colOff>
      <xdr:row>1</xdr:row>
      <xdr:rowOff>95250</xdr:rowOff>
    </xdr:to>
    <xdr:sp>
      <xdr:nvSpPr>
        <xdr:cNvPr id="4" name="Text Box 5"/>
        <xdr:cNvSpPr txBox="1">
          <a:spLocks noChangeArrowheads="1"/>
        </xdr:cNvSpPr>
      </xdr:nvSpPr>
      <xdr:spPr>
        <a:xfrm>
          <a:off x="190500" y="304800"/>
          <a:ext cx="4229100" cy="571500"/>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Durchschnittliches Jahresnettoeinkommen einer ledigen,
</a:t>
          </a:r>
          <a:r>
            <a:rPr lang="en-US" cap="none" sz="1200" b="1" i="0" u="none" baseline="0">
              <a:solidFill>
                <a:srgbClr val="000000"/>
              </a:solidFill>
              <a:latin typeface="Arial"/>
              <a:ea typeface="Arial"/>
              <a:cs typeface="Arial"/>
            </a:rPr>
            <a:t>kinderlosen Gymnasiallehrkraft in Berlin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(Stand 01.08.2018)</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cdr:x>
      <cdr:y>0.21225</cdr:y>
    </cdr:from>
    <cdr:to>
      <cdr:x>0.9465</cdr:x>
      <cdr:y>0.2585</cdr:y>
    </cdr:to>
    <cdr:sp fLocksText="0">
      <cdr:nvSpPr>
        <cdr:cNvPr id="1" name="Text Box 2"/>
        <cdr:cNvSpPr txBox="1">
          <a:spLocks noChangeArrowheads="1"/>
        </cdr:cNvSpPr>
      </cdr:nvSpPr>
      <cdr:spPr>
        <a:xfrm>
          <a:off x="5286375" y="1047750"/>
          <a:ext cx="1019175" cy="228600"/>
        </a:xfrm>
        <a:prstGeom prst="rect">
          <a:avLst/>
        </a:prstGeom>
        <a:noFill/>
        <a:ln w="9525" cmpd="sng">
          <a:noFill/>
        </a:ln>
      </cdr:spPr>
      <cdr:txBody>
        <a:bodyPr vertOverflow="clip" wrap="square" lIns="0" tIns="27432" rIns="36576" bIns="0"/>
        <a:p>
          <a:pPr algn="r">
            <a:defRPr/>
          </a:pPr>
          <a:r>
            <a:rPr lang="en-US" cap="none" sz="1200" b="1" i="0" u="none" baseline="0">
              <a:solidFill>
                <a:srgbClr val="FF9900"/>
              </a:solidFill>
              <a:latin typeface="Arial"/>
              <a:ea typeface="Arial"/>
              <a:cs typeface="Arial"/>
            </a:rPr>
            <a:t>Beamte A13</a:t>
          </a:r>
        </a:p>
      </cdr:txBody>
    </cdr:sp>
  </cdr:relSizeAnchor>
  <cdr:relSizeAnchor xmlns:cdr="http://schemas.openxmlformats.org/drawingml/2006/chartDrawing">
    <cdr:from>
      <cdr:x>0.64225</cdr:x>
      <cdr:y>0.50325</cdr:y>
    </cdr:from>
    <cdr:to>
      <cdr:x>0.944</cdr:x>
      <cdr:y>0.56125</cdr:y>
    </cdr:to>
    <cdr:sp fLocksText="0">
      <cdr:nvSpPr>
        <cdr:cNvPr id="2" name="Text Box 1"/>
        <cdr:cNvSpPr txBox="1">
          <a:spLocks noChangeArrowheads="1"/>
        </cdr:cNvSpPr>
      </cdr:nvSpPr>
      <cdr:spPr>
        <a:xfrm>
          <a:off x="4267200" y="2495550"/>
          <a:ext cx="2009775" cy="285750"/>
        </a:xfrm>
        <a:prstGeom prst="rect">
          <a:avLst/>
        </a:prstGeom>
        <a:noFill/>
        <a:ln w="9525" cmpd="sng">
          <a:noFill/>
        </a:ln>
      </cdr:spPr>
      <cdr:txBody>
        <a:bodyPr vertOverflow="clip" wrap="square" lIns="0" tIns="27432" rIns="36576" bIns="0"/>
        <a:p>
          <a:pPr algn="r">
            <a:defRPr/>
          </a:pPr>
          <a:r>
            <a:rPr lang="en-US" cap="none" sz="1200" b="1" i="0" u="none" baseline="0">
              <a:solidFill>
                <a:srgbClr val="000000"/>
              </a:solidFill>
              <a:latin typeface="Arial"/>
              <a:ea typeface="Arial"/>
              <a:cs typeface="Arial"/>
            </a:rPr>
            <a:t>Angestellte E13</a:t>
          </a:r>
          <a:r>
            <a:rPr lang="en-US" cap="none" sz="1200" b="1" i="0" u="none" baseline="0">
              <a:solidFill>
                <a:srgbClr val="808080"/>
              </a:solidFill>
              <a:latin typeface="Arial"/>
              <a:ea typeface="Arial"/>
              <a:cs typeface="Arial"/>
            </a:rPr>
            <a:t>,  Stufe 5</a:t>
          </a:r>
        </a:p>
      </cdr:txBody>
    </cdr:sp>
  </cdr:relSizeAnchor>
  <cdr:relSizeAnchor xmlns:cdr="http://schemas.openxmlformats.org/drawingml/2006/chartDrawing">
    <cdr:from>
      <cdr:x>0.1815</cdr:x>
      <cdr:y>0.7545</cdr:y>
    </cdr:from>
    <cdr:to>
      <cdr:x>0.34625</cdr:x>
      <cdr:y>0.83075</cdr:y>
    </cdr:to>
    <cdr:sp fLocksText="0">
      <cdr:nvSpPr>
        <cdr:cNvPr id="3" name="Text Box 8"/>
        <cdr:cNvSpPr txBox="1">
          <a:spLocks noChangeArrowheads="1"/>
        </cdr:cNvSpPr>
      </cdr:nvSpPr>
      <cdr:spPr>
        <a:xfrm>
          <a:off x="1200150" y="3743325"/>
          <a:ext cx="1095375" cy="381000"/>
        </a:xfrm>
        <a:prstGeom prst="rect">
          <a:avLst/>
        </a:prstGeom>
        <a:noFill/>
        <a:ln w="9525" cmpd="sng">
          <a:noFill/>
        </a:ln>
      </cdr:spPr>
      <cdr:txBody>
        <a:bodyPr vertOverflow="clip" wrap="square" lIns="27432" tIns="27432" rIns="0" bIns="0"/>
        <a:p>
          <a:pPr algn="l">
            <a:defRPr/>
          </a:pPr>
          <a:r>
            <a:rPr lang="en-US" cap="none" sz="1100" b="1" i="0" u="none" baseline="0">
              <a:solidFill>
                <a:srgbClr val="000000"/>
              </a:solidFill>
              <a:latin typeface="Arial"/>
              <a:ea typeface="Arial"/>
              <a:cs typeface="Arial"/>
            </a:rPr>
            <a:t>heute tariflich 
</a:t>
          </a:r>
          <a:r>
            <a:rPr lang="en-US" cap="none" sz="1100" b="1" i="0" u="none" baseline="0">
              <a:solidFill>
                <a:srgbClr val="000000"/>
              </a:solidFill>
              <a:latin typeface="Arial"/>
              <a:ea typeface="Arial"/>
              <a:cs typeface="Arial"/>
            </a:rPr>
            <a:t>abgesichert </a:t>
          </a:r>
        </a:p>
      </cdr:txBody>
    </cdr:sp>
  </cdr:relSizeAnchor>
  <cdr:relSizeAnchor xmlns:cdr="http://schemas.openxmlformats.org/drawingml/2006/chartDrawing">
    <cdr:from>
      <cdr:x>0.7215</cdr:x>
      <cdr:y>0.33525</cdr:y>
    </cdr:from>
    <cdr:to>
      <cdr:x>0.9505</cdr:x>
      <cdr:y>0.41675</cdr:y>
    </cdr:to>
    <cdr:sp fLocksText="0">
      <cdr:nvSpPr>
        <cdr:cNvPr id="4" name="Text Box 11"/>
        <cdr:cNvSpPr txBox="1">
          <a:spLocks noChangeArrowheads="1"/>
        </cdr:cNvSpPr>
      </cdr:nvSpPr>
      <cdr:spPr>
        <a:xfrm>
          <a:off x="4800600" y="1666875"/>
          <a:ext cx="1524000" cy="409575"/>
        </a:xfrm>
        <a:prstGeom prst="rect">
          <a:avLst/>
        </a:prstGeom>
        <a:noFill/>
        <a:ln w="9525" cmpd="sng">
          <a:noFill/>
        </a:ln>
      </cdr:spPr>
      <cdr:txBody>
        <a:bodyPr vertOverflow="clip" wrap="square" lIns="0" tIns="27432" rIns="36576" bIns="0"/>
        <a:p>
          <a:pPr algn="r">
            <a:defRPr/>
          </a:pPr>
          <a:r>
            <a:rPr lang="en-US" cap="none" sz="1200" b="1" i="0" u="none" baseline="0">
              <a:solidFill>
                <a:srgbClr val="FF0000"/>
              </a:solidFill>
              <a:latin typeface="Arial"/>
              <a:ea typeface="Arial"/>
              <a:cs typeface="Arial"/>
            </a:rPr>
            <a:t>E13 mit Zulagen
</a:t>
          </a:r>
          <a:r>
            <a:rPr lang="en-US" cap="none" sz="1200" b="1" i="0" u="none" baseline="0">
              <a:solidFill>
                <a:srgbClr val="FF0000"/>
              </a:solidFill>
              <a:latin typeface="Arial"/>
              <a:ea typeface="Arial"/>
              <a:cs typeface="Arial"/>
            </a:rPr>
            <a:t>gem.TV-L </a:t>
          </a:r>
          <a:r>
            <a:rPr lang="en-US" cap="none" sz="1200" b="1" i="0" u="none" baseline="0">
              <a:solidFill>
                <a:srgbClr val="FF0000"/>
              </a:solidFill>
              <a:latin typeface="Arial"/>
              <a:ea typeface="Arial"/>
              <a:cs typeface="Arial"/>
            </a:rPr>
            <a:t>§</a:t>
          </a:r>
          <a:r>
            <a:rPr lang="en-US" cap="none" sz="1200" b="1" i="0" u="none" baseline="0">
              <a:solidFill>
                <a:srgbClr val="FF0000"/>
              </a:solidFill>
              <a:latin typeface="Arial"/>
              <a:ea typeface="Arial"/>
              <a:cs typeface="Arial"/>
            </a:rPr>
            <a:t>16 (5)</a:t>
          </a:r>
        </a:p>
      </cdr:txBody>
    </cdr:sp>
  </cdr:relSizeAnchor>
  <cdr:relSizeAnchor xmlns:cdr="http://schemas.openxmlformats.org/drawingml/2006/chartDrawing">
    <cdr:from>
      <cdr:x>0.017</cdr:x>
      <cdr:y>0.932</cdr:y>
    </cdr:from>
    <cdr:to>
      <cdr:x>0.2565</cdr:x>
      <cdr:y>0.98425</cdr:y>
    </cdr:to>
    <cdr:sp>
      <cdr:nvSpPr>
        <cdr:cNvPr id="5" name="Text Box 13"/>
        <cdr:cNvSpPr txBox="1">
          <a:spLocks noChangeArrowheads="1"/>
        </cdr:cNvSpPr>
      </cdr:nvSpPr>
      <cdr:spPr>
        <a:xfrm>
          <a:off x="104775" y="4629150"/>
          <a:ext cx="1590675" cy="257175"/>
        </a:xfrm>
        <a:prstGeom prst="rect">
          <a:avLst/>
        </a:prstGeom>
        <a:noFill/>
        <a:ln w="9525" cmpd="sng">
          <a:noFill/>
        </a:ln>
      </cdr:spPr>
      <cdr:txBody>
        <a:bodyPr vertOverflow="clip" wrap="square" lIns="36576" tIns="22860" rIns="0" bIns="0"/>
        <a:p>
          <a:pPr algn="l">
            <a:defRPr/>
          </a:pPr>
          <a:r>
            <a:rPr lang="en-US" cap="none" sz="1200" b="1" i="1" u="none" baseline="0">
              <a:solidFill>
                <a:srgbClr val="000000"/>
              </a:solidFill>
              <a:latin typeface="Arial"/>
              <a:ea typeface="Arial"/>
              <a:cs typeface="Arial"/>
            </a:rPr>
            <a:t>© 2017 Bildet Berlin!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2</xdr:row>
      <xdr:rowOff>1295400</xdr:rowOff>
    </xdr:to>
    <xdr:sp>
      <xdr:nvSpPr>
        <xdr:cNvPr id="1" name="Rectangle 17"/>
        <xdr:cNvSpPr>
          <a:spLocks/>
        </xdr:cNvSpPr>
      </xdr:nvSpPr>
      <xdr:spPr>
        <a:xfrm>
          <a:off x="9525" y="9525"/>
          <a:ext cx="7058025" cy="53054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142875</xdr:rowOff>
    </xdr:from>
    <xdr:to>
      <xdr:col>8</xdr:col>
      <xdr:colOff>514350</xdr:colOff>
      <xdr:row>2</xdr:row>
      <xdr:rowOff>1095375</xdr:rowOff>
    </xdr:to>
    <xdr:graphicFrame>
      <xdr:nvGraphicFramePr>
        <xdr:cNvPr id="2" name="Diagramm 2"/>
        <xdr:cNvGraphicFramePr/>
      </xdr:nvGraphicFramePr>
      <xdr:xfrm>
        <a:off x="152400" y="142875"/>
        <a:ext cx="6657975" cy="4972050"/>
      </xdr:xfrm>
      <a:graphic>
        <a:graphicData uri="http://schemas.openxmlformats.org/drawingml/2006/chart">
          <c:chart xmlns:c="http://schemas.openxmlformats.org/drawingml/2006/chart" r:id="rId1"/>
        </a:graphicData>
      </a:graphic>
    </xdr:graphicFrame>
    <xdr:clientData/>
  </xdr:twoCellAnchor>
  <xdr:twoCellAnchor>
    <xdr:from>
      <xdr:col>2</xdr:col>
      <xdr:colOff>714375</xdr:colOff>
      <xdr:row>1</xdr:row>
      <xdr:rowOff>838200</xdr:rowOff>
    </xdr:from>
    <xdr:to>
      <xdr:col>7</xdr:col>
      <xdr:colOff>447675</xdr:colOff>
      <xdr:row>1</xdr:row>
      <xdr:rowOff>1457325</xdr:rowOff>
    </xdr:to>
    <xdr:sp fLocksText="0">
      <xdr:nvSpPr>
        <xdr:cNvPr id="3" name="Text Box 8"/>
        <xdr:cNvSpPr txBox="1">
          <a:spLocks noChangeArrowheads="1"/>
        </xdr:cNvSpPr>
      </xdr:nvSpPr>
      <xdr:spPr>
        <a:xfrm>
          <a:off x="2238375" y="3019425"/>
          <a:ext cx="3476625" cy="619125"/>
        </a:xfrm>
        <a:prstGeom prst="rect">
          <a:avLst/>
        </a:prstGeom>
        <a:noFill/>
        <a:ln w="9525" cmpd="sng">
          <a:noFill/>
        </a:ln>
      </xdr:spPr>
      <xdr:txBody>
        <a:bodyPr vertOverflow="clip" wrap="square" lIns="0" tIns="27432" rIns="27432" bIns="0"/>
        <a:p>
          <a:pPr algn="r">
            <a:defRPr/>
          </a:pPr>
          <a:r>
            <a:rPr lang="en-US" cap="none" sz="1100" b="1" i="0" u="none" baseline="0">
              <a:solidFill>
                <a:srgbClr val="808080"/>
              </a:solidFill>
              <a:latin typeface="Arial"/>
              <a:ea typeface="Arial"/>
              <a:cs typeface="Arial"/>
            </a:rPr>
            <a:t>Nach 12 Jahren haben Angestellte 
</a:t>
          </a:r>
          <a:r>
            <a:rPr lang="en-US" cap="none" sz="1100" b="1" i="0" u="sng" baseline="0">
              <a:solidFill>
                <a:srgbClr val="808080"/>
              </a:solidFill>
              <a:latin typeface="Arial"/>
              <a:ea typeface="Arial"/>
              <a:cs typeface="Arial"/>
            </a:rPr>
            <a:t>mit Zulage</a:t>
          </a:r>
          <a:r>
            <a:rPr lang="en-US" cap="none" sz="1100" b="1" i="0" u="none" baseline="0">
              <a:solidFill>
                <a:srgbClr val="808080"/>
              </a:solidFill>
              <a:latin typeface="Arial"/>
              <a:ea typeface="Arial"/>
              <a:cs typeface="Arial"/>
            </a:rPr>
            <a:t> und Beamte gleich viel verdient, 
</a:t>
          </a:r>
          <a:r>
            <a:rPr lang="en-US" cap="none" sz="1100" b="1" i="0" u="none" baseline="0">
              <a:solidFill>
                <a:srgbClr val="808080"/>
              </a:solidFill>
              <a:latin typeface="Arial"/>
              <a:ea typeface="Arial"/>
              <a:cs typeface="Arial"/>
            </a:rPr>
            <a:t>28 Jahre lang verdienen Beamte dann mehr dazu. </a:t>
          </a:r>
        </a:p>
      </xdr:txBody>
    </xdr:sp>
    <xdr:clientData fLocksWithSheet="0"/>
  </xdr:twoCellAnchor>
  <xdr:twoCellAnchor>
    <xdr:from>
      <xdr:col>1</xdr:col>
      <xdr:colOff>590550</xdr:colOff>
      <xdr:row>0</xdr:row>
      <xdr:rowOff>981075</xdr:rowOff>
    </xdr:from>
    <xdr:to>
      <xdr:col>5</xdr:col>
      <xdr:colOff>152400</xdr:colOff>
      <xdr:row>0</xdr:row>
      <xdr:rowOff>1571625</xdr:rowOff>
    </xdr:to>
    <xdr:sp fLocksText="0">
      <xdr:nvSpPr>
        <xdr:cNvPr id="4" name="Text Box 9"/>
        <xdr:cNvSpPr txBox="1">
          <a:spLocks noChangeArrowheads="1"/>
        </xdr:cNvSpPr>
      </xdr:nvSpPr>
      <xdr:spPr>
        <a:xfrm>
          <a:off x="1352550" y="981075"/>
          <a:ext cx="2733675" cy="590550"/>
        </a:xfrm>
        <a:prstGeom prst="rect">
          <a:avLst/>
        </a:prstGeom>
        <a:noFill/>
        <a:ln w="9525" cmpd="sng">
          <a:noFill/>
        </a:ln>
      </xdr:spPr>
      <xdr:txBody>
        <a:bodyPr vertOverflow="clip" wrap="square" lIns="27432" tIns="27432" rIns="0" bIns="0"/>
        <a:p>
          <a:pPr algn="l">
            <a:defRPr/>
          </a:pPr>
          <a:r>
            <a:rPr lang="en-US" cap="none" sz="1100" b="1" i="0" u="none" baseline="0">
              <a:solidFill>
                <a:srgbClr val="808080"/>
              </a:solidFill>
              <a:latin typeface="Arial"/>
              <a:ea typeface="Arial"/>
              <a:cs typeface="Arial"/>
            </a:rPr>
            <a:t>Angestellte </a:t>
          </a:r>
          <a:r>
            <a:rPr lang="en-US" cap="none" sz="1100" b="1" i="0" u="sng" baseline="0">
              <a:solidFill>
                <a:srgbClr val="808080"/>
              </a:solidFill>
              <a:latin typeface="Arial"/>
              <a:ea typeface="Arial"/>
              <a:cs typeface="Arial"/>
            </a:rPr>
            <a:t>mit</a:t>
          </a:r>
          <a:r>
            <a:rPr lang="en-US" cap="none" sz="1100" b="1" i="0" u="none" baseline="0">
              <a:solidFill>
                <a:srgbClr val="808080"/>
              </a:solidFill>
              <a:latin typeface="Arial"/>
              <a:ea typeface="Arial"/>
              <a:cs typeface="Arial"/>
            </a:rPr>
            <a:t> zurzeit gezahlter </a:t>
          </a:r>
          <a:r>
            <a:rPr lang="en-US" cap="none" sz="1100" b="1" i="0" u="sng" baseline="0">
              <a:solidFill>
                <a:srgbClr val="808080"/>
              </a:solidFill>
              <a:latin typeface="Arial"/>
              <a:ea typeface="Arial"/>
              <a:cs typeface="Arial"/>
            </a:rPr>
            <a:t>Zulage</a:t>
          </a:r>
          <a:r>
            <a:rPr lang="en-US" cap="none" sz="1100" b="1" i="0" u="none" baseline="0">
              <a:solidFill>
                <a:srgbClr val="808080"/>
              </a:solidFill>
              <a:latin typeface="Arial"/>
              <a:ea typeface="Arial"/>
              <a:cs typeface="Arial"/>
            </a:rPr>
            <a:t> verdienen 5 Jahre lang mehr, 35 Jahre lang verdienen Beamte mehr.</a:t>
          </a:r>
        </a:p>
      </xdr:txBody>
    </xdr:sp>
    <xdr:clientData fLocksWithSheet="0"/>
  </xdr:twoCellAnchor>
  <xdr:twoCellAnchor>
    <xdr:from>
      <xdr:col>2</xdr:col>
      <xdr:colOff>161925</xdr:colOff>
      <xdr:row>0</xdr:row>
      <xdr:rowOff>1571625</xdr:rowOff>
    </xdr:from>
    <xdr:to>
      <xdr:col>2</xdr:col>
      <xdr:colOff>476250</xdr:colOff>
      <xdr:row>0</xdr:row>
      <xdr:rowOff>2152650</xdr:rowOff>
    </xdr:to>
    <xdr:sp>
      <xdr:nvSpPr>
        <xdr:cNvPr id="5" name="Line 10"/>
        <xdr:cNvSpPr>
          <a:spLocks/>
        </xdr:cNvSpPr>
      </xdr:nvSpPr>
      <xdr:spPr>
        <a:xfrm>
          <a:off x="1685925" y="1571625"/>
          <a:ext cx="314325" cy="590550"/>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1</xdr:row>
      <xdr:rowOff>314325</xdr:rowOff>
    </xdr:from>
    <xdr:to>
      <xdr:col>4</xdr:col>
      <xdr:colOff>247650</xdr:colOff>
      <xdr:row>1</xdr:row>
      <xdr:rowOff>952500</xdr:rowOff>
    </xdr:to>
    <xdr:sp>
      <xdr:nvSpPr>
        <xdr:cNvPr id="6" name="Line 11"/>
        <xdr:cNvSpPr>
          <a:spLocks/>
        </xdr:cNvSpPr>
      </xdr:nvSpPr>
      <xdr:spPr>
        <a:xfrm flipH="1" flipV="1">
          <a:off x="2924175" y="2495550"/>
          <a:ext cx="371475" cy="638175"/>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xdr:row>
      <xdr:rowOff>1724025</xdr:rowOff>
    </xdr:from>
    <xdr:to>
      <xdr:col>8</xdr:col>
      <xdr:colOff>238125</xdr:colOff>
      <xdr:row>2</xdr:row>
      <xdr:rowOff>276225</xdr:rowOff>
    </xdr:to>
    <xdr:sp fLocksText="0">
      <xdr:nvSpPr>
        <xdr:cNvPr id="7" name="Text Box 12"/>
        <xdr:cNvSpPr txBox="1">
          <a:spLocks noChangeArrowheads="1"/>
        </xdr:cNvSpPr>
      </xdr:nvSpPr>
      <xdr:spPr>
        <a:xfrm>
          <a:off x="3238500" y="3905250"/>
          <a:ext cx="3295650" cy="39052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Das </a:t>
          </a:r>
          <a:r>
            <a:rPr lang="en-US" cap="none" sz="1100" b="1" i="0" u="sng" baseline="0">
              <a:solidFill>
                <a:srgbClr val="000000"/>
              </a:solidFill>
              <a:latin typeface="Arial"/>
              <a:ea typeface="Arial"/>
              <a:cs typeface="Arial"/>
            </a:rPr>
            <a:t>tariflich abgesicherte</a:t>
          </a:r>
          <a:r>
            <a:rPr lang="en-US" cap="none" sz="1100" b="1" i="0" u="none" baseline="0">
              <a:solidFill>
                <a:srgbClr val="000000"/>
              </a:solidFill>
              <a:latin typeface="Arial"/>
              <a:ea typeface="Arial"/>
              <a:cs typeface="Arial"/>
            </a:rPr>
            <a:t> Nettoeinkommen Angestellter reicht niemals an das von Beamten heran.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hyperlink" Target="http://www.krankenkassen.de/gesetzliche-krankenkassen/system-gesetzliche-krankenversicherung/sozialversicherung-rechengroessen-beitragsbemessungsgrenze-versicherungspflichtgrenze/rechengroessen-2012/" TargetMode="Externa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PageLayoutView="0" workbookViewId="0" topLeftCell="A1">
      <selection activeCell="O11" sqref="O11"/>
    </sheetView>
  </sheetViews>
  <sheetFormatPr defaultColWidth="11.421875" defaultRowHeight="12.75"/>
  <cols>
    <col min="1" max="1" width="18.00390625" style="0" customWidth="1"/>
    <col min="2" max="2" width="8.57421875" style="0" customWidth="1"/>
    <col min="3" max="3" width="9.00390625" style="0" customWidth="1"/>
    <col min="4" max="4" width="8.7109375" style="0" customWidth="1"/>
    <col min="5" max="5" width="6.57421875" style="0" customWidth="1"/>
    <col min="6" max="6" width="5.421875" style="0" customWidth="1"/>
    <col min="7" max="7" width="8.28125" style="0" customWidth="1"/>
    <col min="8" max="9" width="4.28125" style="0" customWidth="1"/>
    <col min="10" max="10" width="8.28125" style="0" customWidth="1"/>
    <col min="11" max="11" width="10.28125" style="0" customWidth="1"/>
    <col min="12" max="12" width="4.28125" style="5" customWidth="1"/>
    <col min="13" max="13" width="3.7109375" style="0" customWidth="1"/>
    <col min="14" max="14" width="3.421875" style="0" customWidth="1"/>
  </cols>
  <sheetData>
    <row r="1" spans="5:9" ht="27.75" customHeight="1">
      <c r="E1" s="36"/>
      <c r="F1" s="36"/>
      <c r="G1" s="36"/>
      <c r="H1" s="36"/>
      <c r="I1" s="36"/>
    </row>
    <row r="2" spans="5:9" ht="24.75" customHeight="1">
      <c r="E2" s="36"/>
      <c r="F2" s="36"/>
      <c r="G2" s="36"/>
      <c r="H2" s="36"/>
      <c r="I2" s="36"/>
    </row>
    <row r="3" spans="5:9" ht="34.5" customHeight="1">
      <c r="E3" s="36"/>
      <c r="F3" s="36"/>
      <c r="G3" s="36"/>
      <c r="H3" s="36"/>
      <c r="I3" s="36"/>
    </row>
    <row r="4" spans="5:9" ht="27" customHeight="1">
      <c r="E4" s="36"/>
      <c r="F4" s="36"/>
      <c r="G4" s="36"/>
      <c r="H4" s="36"/>
      <c r="I4" s="36"/>
    </row>
    <row r="5" spans="5:9" ht="37.5" customHeight="1">
      <c r="E5" s="36"/>
      <c r="F5" s="36"/>
      <c r="G5" s="36"/>
      <c r="H5" s="36"/>
      <c r="I5" s="36"/>
    </row>
    <row r="6" spans="5:9" ht="27" customHeight="1">
      <c r="E6" s="36"/>
      <c r="F6" s="36"/>
      <c r="G6" s="36"/>
      <c r="H6" s="36"/>
      <c r="I6" s="36"/>
    </row>
    <row r="7" spans="5:9" ht="24" customHeight="1">
      <c r="E7" s="36"/>
      <c r="F7" s="36"/>
      <c r="G7" s="36"/>
      <c r="H7" s="36"/>
      <c r="I7" s="36"/>
    </row>
    <row r="8" spans="5:9" ht="27" customHeight="1">
      <c r="E8" s="36"/>
      <c r="F8" s="36"/>
      <c r="G8" s="36"/>
      <c r="H8" s="36"/>
      <c r="I8" s="36"/>
    </row>
    <row r="9" spans="5:9" ht="22.5" customHeight="1">
      <c r="E9" s="36"/>
      <c r="F9" s="36"/>
      <c r="G9" s="36"/>
      <c r="H9" s="36"/>
      <c r="I9" s="36"/>
    </row>
    <row r="10" spans="5:9" ht="38.25" customHeight="1">
      <c r="E10" s="36"/>
      <c r="F10" s="36"/>
      <c r="G10" s="36"/>
      <c r="H10" s="36"/>
      <c r="I10" s="36"/>
    </row>
    <row r="11" spans="5:9" ht="105.75" customHeight="1">
      <c r="E11" s="36"/>
      <c r="F11" s="36"/>
      <c r="G11" s="36"/>
      <c r="H11" s="36"/>
      <c r="I11" s="36"/>
    </row>
    <row r="12" ht="24" customHeight="1"/>
    <row r="13" spans="1:12" ht="13.5">
      <c r="A13" s="34" t="s">
        <v>10</v>
      </c>
      <c r="B13" s="43"/>
      <c r="E13" s="5"/>
      <c r="F13" s="37"/>
      <c r="L13"/>
    </row>
    <row r="14" spans="1:13" ht="34.5" customHeight="1">
      <c r="A14" s="83" t="s">
        <v>25</v>
      </c>
      <c r="B14" s="84" t="s">
        <v>31</v>
      </c>
      <c r="C14" s="83" t="s">
        <v>53</v>
      </c>
      <c r="D14" s="85" t="s">
        <v>30</v>
      </c>
      <c r="E14" s="86" t="s">
        <v>20</v>
      </c>
      <c r="F14" s="87" t="s">
        <v>15</v>
      </c>
      <c r="G14" s="193"/>
      <c r="H14" s="195"/>
      <c r="I14" s="193"/>
      <c r="J14" s="193"/>
      <c r="K14" s="195"/>
      <c r="L14" s="193"/>
      <c r="M14" s="196"/>
    </row>
    <row r="15" spans="1:13" ht="12.75">
      <c r="A15" s="207" t="s">
        <v>11</v>
      </c>
      <c r="B15" s="208">
        <f>'A13 - Modell'!G47</f>
        <v>39477.77175000001</v>
      </c>
      <c r="C15" s="209">
        <f>B15-B$15</f>
        <v>0</v>
      </c>
      <c r="D15" s="210">
        <f>C15*40</f>
        <v>0</v>
      </c>
      <c r="E15" s="211">
        <f>B15/B$15</f>
        <v>1</v>
      </c>
      <c r="F15" s="212">
        <f>C15*40/B15</f>
        <v>0</v>
      </c>
      <c r="G15" s="89"/>
      <c r="H15" s="91"/>
      <c r="I15" s="92"/>
      <c r="M15" s="94"/>
    </row>
    <row r="16" spans="1:13" ht="12.75">
      <c r="A16" s="213" t="s">
        <v>14</v>
      </c>
      <c r="B16" s="214">
        <f>'E13 - Modell'!K47</f>
        <v>34529.3165</v>
      </c>
      <c r="C16" s="215">
        <f>B16-B$15</f>
        <v>-4948.455250000006</v>
      </c>
      <c r="D16" s="216">
        <f>C16*40</f>
        <v>-197938.21000000025</v>
      </c>
      <c r="E16" s="217">
        <f>B16/B$15</f>
        <v>0.8746521135656546</v>
      </c>
      <c r="F16" s="218">
        <f>C16*40/B16</f>
        <v>-5.7324682346376665</v>
      </c>
      <c r="G16" s="89"/>
      <c r="H16" s="91"/>
      <c r="I16" s="92"/>
      <c r="J16" s="266"/>
      <c r="K16" s="373"/>
      <c r="L16" s="361"/>
      <c r="M16" s="94"/>
    </row>
    <row r="17" spans="1:13" ht="12.75">
      <c r="A17" s="88" t="s">
        <v>16</v>
      </c>
      <c r="B17" s="89">
        <f>'E13 Stufe 5 - Modell'!K47</f>
        <v>35826.83000000001</v>
      </c>
      <c r="C17" s="90">
        <f>B17-B$15</f>
        <v>-3650.941749999998</v>
      </c>
      <c r="D17" s="91">
        <f>C17*40</f>
        <v>-146037.66999999993</v>
      </c>
      <c r="E17" s="92">
        <f>B17/B$15</f>
        <v>0.9075190521612964</v>
      </c>
      <c r="F17" s="93">
        <f>C17*40/B17</f>
        <v>-4.076209645117916</v>
      </c>
      <c r="G17" s="89"/>
      <c r="H17" s="91"/>
      <c r="I17" s="92"/>
      <c r="J17" s="266" t="s">
        <v>83</v>
      </c>
      <c r="K17" s="375">
        <v>42908</v>
      </c>
      <c r="L17" s="374"/>
      <c r="M17" s="94"/>
    </row>
    <row r="18" spans="1:13" s="126" customFormat="1" ht="12.75" customHeight="1">
      <c r="A18" s="219" t="s">
        <v>100</v>
      </c>
      <c r="B18" s="214">
        <f>'E13 TV-L Zulagen - Modell'!K47</f>
        <v>39228.51799999998</v>
      </c>
      <c r="C18" s="215">
        <f>B18-B$15</f>
        <v>-249.25375000002532</v>
      </c>
      <c r="D18" s="216">
        <f>C18*40</f>
        <v>-9970.150000001013</v>
      </c>
      <c r="E18" s="217">
        <f>B18/B$15</f>
        <v>0.9936862254643329</v>
      </c>
      <c r="F18" s="218">
        <f>C18*40/B18</f>
        <v>-0.254155662979698</v>
      </c>
      <c r="G18" s="89"/>
      <c r="H18" s="91"/>
      <c r="I18" s="92"/>
      <c r="J18" s="89"/>
      <c r="K18" s="91"/>
      <c r="L18" s="92"/>
      <c r="M18" s="94"/>
    </row>
    <row r="19" spans="1:12" ht="15" customHeight="1">
      <c r="A19" s="202" t="s">
        <v>21</v>
      </c>
      <c r="B19" s="62"/>
      <c r="E19" s="5"/>
      <c r="F19" s="37"/>
      <c r="G19" s="55"/>
      <c r="H19" s="55"/>
      <c r="I19" s="55"/>
      <c r="K19" s="374" t="s">
        <v>121</v>
      </c>
      <c r="L19" s="220"/>
    </row>
  </sheetData>
  <sheetProtection/>
  <printOptions/>
  <pageMargins left="0.41" right="0.16" top="0.8" bottom="0.31" header="0.52" footer="0.2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6" customWidth="1"/>
    <col min="14" max="14" width="11.00390625" style="26" customWidth="1"/>
    <col min="15" max="15" width="13.8515625" style="6" customWidth="1"/>
    <col min="17" max="17" width="3.8515625" style="0" customWidth="1"/>
    <col min="18" max="18" width="3.421875" style="0" customWidth="1"/>
    <col min="20" max="20" width="10.00390625" style="0" customWidth="1"/>
    <col min="21" max="21" width="10.28125" style="5" customWidth="1"/>
  </cols>
  <sheetData>
    <row r="1" spans="4:22" ht="12.75" customHeight="1">
      <c r="D1" s="34" t="s">
        <v>29</v>
      </c>
      <c r="J1" s="22" t="s">
        <v>9</v>
      </c>
      <c r="K1" s="33">
        <v>210</v>
      </c>
      <c r="P1" s="270"/>
      <c r="R1" s="221"/>
      <c r="T1" s="261" t="s">
        <v>72</v>
      </c>
      <c r="U1" s="262" t="s">
        <v>73</v>
      </c>
      <c r="V1" s="2"/>
    </row>
    <row r="2" spans="16:22" ht="2.25" customHeight="1">
      <c r="P2" s="270"/>
      <c r="R2" s="221"/>
      <c r="T2" s="73"/>
      <c r="U2" s="191"/>
      <c r="V2" s="2"/>
    </row>
    <row r="3" spans="1:22" ht="12.75">
      <c r="A3" s="8"/>
      <c r="B3" s="8"/>
      <c r="C3" s="8"/>
      <c r="D3" s="40" t="s">
        <v>128</v>
      </c>
      <c r="E3" s="10"/>
      <c r="F3" s="10"/>
      <c r="G3" s="11"/>
      <c r="H3" s="12"/>
      <c r="I3" s="99"/>
      <c r="J3" s="99"/>
      <c r="K3" s="100"/>
      <c r="L3" s="101"/>
      <c r="M3" s="102"/>
      <c r="N3" s="27"/>
      <c r="O3" s="23"/>
      <c r="P3" s="270"/>
      <c r="R3" s="221"/>
      <c r="T3" s="229">
        <v>1020.06</v>
      </c>
      <c r="U3" s="229"/>
      <c r="V3" s="2"/>
    </row>
    <row r="4" spans="1:22" ht="3" customHeight="1">
      <c r="A4" s="8"/>
      <c r="B4" s="8"/>
      <c r="C4" s="8"/>
      <c r="D4" s="9"/>
      <c r="E4" s="10"/>
      <c r="F4" s="10"/>
      <c r="G4" s="11"/>
      <c r="H4" s="12"/>
      <c r="I4" s="99"/>
      <c r="J4" s="99"/>
      <c r="K4" s="100"/>
      <c r="L4" s="101"/>
      <c r="M4" s="102"/>
      <c r="N4" s="27"/>
      <c r="O4" s="23"/>
      <c r="P4" s="270"/>
      <c r="R4" s="221"/>
      <c r="V4" s="2"/>
    </row>
    <row r="5" spans="1:22" ht="35.25" customHeight="1">
      <c r="A5" s="8"/>
      <c r="B5" s="8"/>
      <c r="C5" s="8"/>
      <c r="D5" s="418" t="s">
        <v>126</v>
      </c>
      <c r="E5" s="430"/>
      <c r="F5" s="430"/>
      <c r="G5" s="431"/>
      <c r="H5" s="25"/>
      <c r="I5" s="106"/>
      <c r="J5" s="106"/>
      <c r="K5" s="107"/>
      <c r="L5" s="107"/>
      <c r="M5" s="107"/>
      <c r="N5" s="74"/>
      <c r="O5" s="63"/>
      <c r="P5" s="270"/>
      <c r="R5" s="2" t="s">
        <v>55</v>
      </c>
      <c r="T5" s="244"/>
      <c r="U5" s="257"/>
      <c r="V5" s="2"/>
    </row>
    <row r="6" spans="1:22" ht="33" customHeight="1">
      <c r="A6" s="116" t="s">
        <v>32</v>
      </c>
      <c r="B6" s="13" t="s">
        <v>1</v>
      </c>
      <c r="C6" s="13"/>
      <c r="D6" s="64" t="s">
        <v>2</v>
      </c>
      <c r="E6" s="65" t="s">
        <v>4</v>
      </c>
      <c r="F6" s="65" t="s">
        <v>3</v>
      </c>
      <c r="G6" s="66" t="s">
        <v>26</v>
      </c>
      <c r="H6" s="15"/>
      <c r="I6" s="103"/>
      <c r="J6" s="104"/>
      <c r="K6" s="14"/>
      <c r="L6" s="14"/>
      <c r="M6" s="105"/>
      <c r="N6" s="48"/>
      <c r="O6" s="72"/>
      <c r="P6" s="270"/>
      <c r="R6" s="223"/>
      <c r="S6" s="224" t="s">
        <v>68</v>
      </c>
      <c r="T6" s="259" t="s">
        <v>69</v>
      </c>
      <c r="U6" s="260" t="s">
        <v>70</v>
      </c>
      <c r="V6" s="226" t="s">
        <v>61</v>
      </c>
    </row>
    <row r="7" spans="1:22" ht="11.25" customHeight="1">
      <c r="A7" s="8">
        <v>1</v>
      </c>
      <c r="B7" s="8">
        <v>27</v>
      </c>
      <c r="C7" s="8"/>
      <c r="D7" s="16">
        <v>1</v>
      </c>
      <c r="E7" s="17">
        <f>VLOOKUP(D7,'A13 - Tabelle'!$A$6:$G$13,6)</f>
        <v>47088.24</v>
      </c>
      <c r="F7" s="17">
        <f>VLOOKUP(D7,'A13 - Tabelle'!$A$6:$G$13,7)</f>
        <v>36235.46</v>
      </c>
      <c r="G7" s="18">
        <f aca="true" t="shared" si="0" ref="G7:G46">F7-12*$K$1</f>
        <v>33715.46</v>
      </c>
      <c r="H7" s="19"/>
      <c r="I7" s="99"/>
      <c r="J7" s="24"/>
      <c r="K7" s="17"/>
      <c r="L7" s="17"/>
      <c r="M7" s="20"/>
      <c r="N7" s="47"/>
      <c r="O7" s="59"/>
      <c r="P7" s="270"/>
      <c r="R7" s="228"/>
      <c r="S7" s="229">
        <f>E7/12</f>
        <v>3924.02</v>
      </c>
      <c r="T7" s="229">
        <f>T$3</f>
        <v>1020.06</v>
      </c>
      <c r="U7" s="229">
        <f>U$3</f>
        <v>0</v>
      </c>
      <c r="V7" s="231">
        <f>SUM(S7:U7)</f>
        <v>4944.08</v>
      </c>
    </row>
    <row r="8" spans="1:22" ht="11.25" customHeight="1">
      <c r="A8" s="8">
        <v>2</v>
      </c>
      <c r="B8" s="8">
        <f>B7+1</f>
        <v>28</v>
      </c>
      <c r="C8" s="8"/>
      <c r="D8" s="16">
        <v>1</v>
      </c>
      <c r="E8" s="17">
        <f>VLOOKUP(D8,'A13 - Tabelle'!$A$6:$F$13,6)</f>
        <v>47088.24</v>
      </c>
      <c r="F8" s="17">
        <f>VLOOKUP(D8,'A13 - Tabelle'!$A$6:$G$13,7)</f>
        <v>36235.46</v>
      </c>
      <c r="G8" s="18">
        <f t="shared" si="0"/>
        <v>33715.46</v>
      </c>
      <c r="H8" s="19"/>
      <c r="I8" s="99"/>
      <c r="J8" s="24"/>
      <c r="K8" s="17"/>
      <c r="L8" s="17"/>
      <c r="M8" s="20"/>
      <c r="N8" s="47"/>
      <c r="O8" s="59"/>
      <c r="P8" s="270"/>
      <c r="R8" s="228"/>
      <c r="S8" s="229">
        <f aca="true" t="shared" si="1" ref="S8:S46">E8/12</f>
        <v>3924.02</v>
      </c>
      <c r="T8" s="229">
        <f>T$3</f>
        <v>1020.06</v>
      </c>
      <c r="U8" s="229">
        <f>U$3</f>
        <v>0</v>
      </c>
      <c r="V8" s="231">
        <f aca="true" t="shared" si="2" ref="V8:V46">SUM(S8:U8)</f>
        <v>4944.08</v>
      </c>
    </row>
    <row r="9" spans="1:22" ht="11.25" customHeight="1">
      <c r="A9" s="8">
        <v>3</v>
      </c>
      <c r="B9" s="8">
        <f aca="true" t="shared" si="3" ref="B9:B46">B8+1</f>
        <v>29</v>
      </c>
      <c r="C9" s="8"/>
      <c r="D9" s="16">
        <v>2</v>
      </c>
      <c r="E9" s="17">
        <f>VLOOKUP(D9,'A13 - Tabelle'!$A$6:$F$13,6)</f>
        <v>49409.64</v>
      </c>
      <c r="F9" s="17">
        <f>VLOOKUP(D9,'A13 - Tabelle'!$A$6:$G$13,7)</f>
        <v>37624.24</v>
      </c>
      <c r="G9" s="18">
        <f t="shared" si="0"/>
        <v>35104.24</v>
      </c>
      <c r="H9" s="19"/>
      <c r="I9" s="99"/>
      <c r="J9" s="24"/>
      <c r="K9" s="17"/>
      <c r="L9" s="17"/>
      <c r="M9" s="20"/>
      <c r="N9" s="47"/>
      <c r="O9" s="59"/>
      <c r="P9" s="270"/>
      <c r="R9" s="228"/>
      <c r="S9" s="229">
        <f t="shared" si="1"/>
        <v>4117.47</v>
      </c>
      <c r="T9" s="229">
        <f aca="true" t="shared" si="4" ref="T9:U46">T$3</f>
        <v>1020.06</v>
      </c>
      <c r="U9" s="229">
        <f t="shared" si="4"/>
        <v>0</v>
      </c>
      <c r="V9" s="231">
        <f t="shared" si="2"/>
        <v>5137.530000000001</v>
      </c>
    </row>
    <row r="10" spans="1:22" ht="11.25" customHeight="1">
      <c r="A10" s="8">
        <v>4</v>
      </c>
      <c r="B10" s="8">
        <f t="shared" si="3"/>
        <v>30</v>
      </c>
      <c r="C10" s="8"/>
      <c r="D10" s="16">
        <v>2</v>
      </c>
      <c r="E10" s="17">
        <f>VLOOKUP(D10,'A13 - Tabelle'!$A$6:$F$13,6)</f>
        <v>49409.64</v>
      </c>
      <c r="F10" s="17">
        <f>VLOOKUP(D10,'A13 - Tabelle'!$A$6:$G$13,7)</f>
        <v>37624.24</v>
      </c>
      <c r="G10" s="18">
        <f t="shared" si="0"/>
        <v>35104.24</v>
      </c>
      <c r="H10" s="19"/>
      <c r="I10" s="99"/>
      <c r="J10" s="24"/>
      <c r="K10" s="17"/>
      <c r="L10" s="17"/>
      <c r="M10" s="20"/>
      <c r="N10" s="47"/>
      <c r="O10" s="59"/>
      <c r="P10" s="270"/>
      <c r="R10" s="228"/>
      <c r="S10" s="229">
        <f t="shared" si="1"/>
        <v>4117.47</v>
      </c>
      <c r="T10" s="229">
        <f t="shared" si="4"/>
        <v>1020.06</v>
      </c>
      <c r="U10" s="229">
        <f t="shared" si="4"/>
        <v>0</v>
      </c>
      <c r="V10" s="231">
        <f t="shared" si="2"/>
        <v>5137.530000000001</v>
      </c>
    </row>
    <row r="11" spans="1:22" ht="11.25" customHeight="1">
      <c r="A11" s="8">
        <v>5</v>
      </c>
      <c r="B11" s="8">
        <f t="shared" si="3"/>
        <v>31</v>
      </c>
      <c r="C11" s="8"/>
      <c r="D11" s="16">
        <v>2</v>
      </c>
      <c r="E11" s="17">
        <f>VLOOKUP(D11,'A13 - Tabelle'!$A$6:$F$13,6)</f>
        <v>49409.64</v>
      </c>
      <c r="F11" s="17">
        <f>VLOOKUP(D11,'A13 - Tabelle'!$A$6:$G$13,7)</f>
        <v>37624.24</v>
      </c>
      <c r="G11" s="18">
        <f t="shared" si="0"/>
        <v>35104.24</v>
      </c>
      <c r="H11" s="19"/>
      <c r="I11" s="99"/>
      <c r="J11" s="24"/>
      <c r="K11" s="17"/>
      <c r="L11" s="17"/>
      <c r="M11" s="20"/>
      <c r="N11" s="47"/>
      <c r="O11" s="59"/>
      <c r="P11" s="270"/>
      <c r="R11" s="228"/>
      <c r="S11" s="229">
        <f t="shared" si="1"/>
        <v>4117.47</v>
      </c>
      <c r="T11" s="229">
        <f t="shared" si="4"/>
        <v>1020.06</v>
      </c>
      <c r="U11" s="229">
        <f t="shared" si="4"/>
        <v>0</v>
      </c>
      <c r="V11" s="231">
        <f t="shared" si="2"/>
        <v>5137.530000000001</v>
      </c>
    </row>
    <row r="12" spans="1:22" ht="11.25" customHeight="1">
      <c r="A12" s="8">
        <v>6</v>
      </c>
      <c r="B12" s="8">
        <f t="shared" si="3"/>
        <v>32</v>
      </c>
      <c r="C12" s="8"/>
      <c r="D12" s="16">
        <v>3</v>
      </c>
      <c r="E12" s="17">
        <f>VLOOKUP(D12,'A13 - Tabelle'!$A$6:$F$13,6)</f>
        <v>51730.799999999996</v>
      </c>
      <c r="F12" s="17">
        <f>VLOOKUP(D12,'A13 - Tabelle'!$A$6:$G$13,7)</f>
        <v>38986.4</v>
      </c>
      <c r="G12" s="18">
        <f t="shared" si="0"/>
        <v>36466.4</v>
      </c>
      <c r="H12" s="19"/>
      <c r="I12" s="99"/>
      <c r="J12" s="24"/>
      <c r="K12" s="17"/>
      <c r="L12" s="17"/>
      <c r="M12" s="20"/>
      <c r="N12" s="47"/>
      <c r="O12" s="59"/>
      <c r="P12" s="270"/>
      <c r="R12" s="228"/>
      <c r="S12" s="229">
        <f t="shared" si="1"/>
        <v>4310.9</v>
      </c>
      <c r="T12" s="229">
        <f t="shared" si="4"/>
        <v>1020.06</v>
      </c>
      <c r="U12" s="229">
        <f t="shared" si="4"/>
        <v>0</v>
      </c>
      <c r="V12" s="231">
        <f t="shared" si="2"/>
        <v>5330.959999999999</v>
      </c>
    </row>
    <row r="13" spans="1:22" ht="11.25" customHeight="1">
      <c r="A13" s="8">
        <v>7</v>
      </c>
      <c r="B13" s="8">
        <f t="shared" si="3"/>
        <v>33</v>
      </c>
      <c r="C13" s="8"/>
      <c r="D13" s="16">
        <v>3</v>
      </c>
      <c r="E13" s="17">
        <f>VLOOKUP(D13,'A13 - Tabelle'!$A$6:$F$13,6)</f>
        <v>51730.799999999996</v>
      </c>
      <c r="F13" s="17">
        <f>VLOOKUP(D13,'A13 - Tabelle'!$A$6:$G$13,7)</f>
        <v>38986.4</v>
      </c>
      <c r="G13" s="18">
        <f t="shared" si="0"/>
        <v>36466.4</v>
      </c>
      <c r="H13" s="19"/>
      <c r="I13" s="99"/>
      <c r="J13" s="24"/>
      <c r="K13" s="17"/>
      <c r="L13" s="17"/>
      <c r="M13" s="20"/>
      <c r="N13" s="47"/>
      <c r="O13" s="59"/>
      <c r="P13" s="270"/>
      <c r="R13" s="228"/>
      <c r="S13" s="229">
        <f t="shared" si="1"/>
        <v>4310.9</v>
      </c>
      <c r="T13" s="229">
        <f t="shared" si="4"/>
        <v>1020.06</v>
      </c>
      <c r="U13" s="229">
        <f t="shared" si="4"/>
        <v>0</v>
      </c>
      <c r="V13" s="231">
        <f t="shared" si="2"/>
        <v>5330.959999999999</v>
      </c>
    </row>
    <row r="14" spans="1:22" ht="11.25" customHeight="1">
      <c r="A14" s="8">
        <v>8</v>
      </c>
      <c r="B14" s="8">
        <f t="shared" si="3"/>
        <v>34</v>
      </c>
      <c r="C14" s="8"/>
      <c r="D14" s="16">
        <v>3</v>
      </c>
      <c r="E14" s="17">
        <f>VLOOKUP(D14,'A13 - Tabelle'!$A$6:$F$13,6)</f>
        <v>51730.799999999996</v>
      </c>
      <c r="F14" s="17">
        <f>VLOOKUP(D14,'A13 - Tabelle'!$A$6:$G$13,7)</f>
        <v>38986.4</v>
      </c>
      <c r="G14" s="18">
        <f t="shared" si="0"/>
        <v>36466.4</v>
      </c>
      <c r="H14" s="19"/>
      <c r="I14" s="99"/>
      <c r="J14" s="24"/>
      <c r="K14" s="17"/>
      <c r="L14" s="17"/>
      <c r="M14" s="20"/>
      <c r="N14" s="47"/>
      <c r="O14" s="59"/>
      <c r="P14" s="270"/>
      <c r="R14" s="228"/>
      <c r="S14" s="229">
        <f t="shared" si="1"/>
        <v>4310.9</v>
      </c>
      <c r="T14" s="229">
        <f t="shared" si="4"/>
        <v>1020.06</v>
      </c>
      <c r="U14" s="229">
        <f t="shared" si="4"/>
        <v>0</v>
      </c>
      <c r="V14" s="231">
        <f t="shared" si="2"/>
        <v>5330.959999999999</v>
      </c>
    </row>
    <row r="15" spans="1:22" ht="11.25" customHeight="1">
      <c r="A15" s="8">
        <v>9</v>
      </c>
      <c r="B15" s="8">
        <f t="shared" si="3"/>
        <v>35</v>
      </c>
      <c r="C15" s="8"/>
      <c r="D15" s="16">
        <v>4</v>
      </c>
      <c r="E15" s="17">
        <f>VLOOKUP(D15,'A13 - Tabelle'!$A$6:$F$13,6)</f>
        <v>54066.240000000005</v>
      </c>
      <c r="F15" s="17">
        <f>VLOOKUP(D15,'A13 - Tabelle'!$A$6:$G$13,7)</f>
        <v>40332.25</v>
      </c>
      <c r="G15" s="18">
        <f t="shared" si="0"/>
        <v>37812.25</v>
      </c>
      <c r="H15" s="19"/>
      <c r="I15" s="99"/>
      <c r="J15" s="24"/>
      <c r="K15" s="17"/>
      <c r="L15" s="17"/>
      <c r="M15" s="20"/>
      <c r="N15" s="47"/>
      <c r="O15" s="59"/>
      <c r="P15" s="270"/>
      <c r="R15" s="228"/>
      <c r="S15" s="229">
        <f t="shared" si="1"/>
        <v>4505.52</v>
      </c>
      <c r="T15" s="229">
        <f t="shared" si="4"/>
        <v>1020.06</v>
      </c>
      <c r="U15" s="229">
        <f t="shared" si="4"/>
        <v>0</v>
      </c>
      <c r="V15" s="231">
        <f t="shared" si="2"/>
        <v>5525.58</v>
      </c>
    </row>
    <row r="16" spans="1:22" ht="11.25" customHeight="1">
      <c r="A16" s="8">
        <v>10</v>
      </c>
      <c r="B16" s="8">
        <f t="shared" si="3"/>
        <v>36</v>
      </c>
      <c r="C16" s="8"/>
      <c r="D16" s="16">
        <v>4</v>
      </c>
      <c r="E16" s="17">
        <f>VLOOKUP(D16,'A13 - Tabelle'!$A$6:$F$13,6)</f>
        <v>54066.240000000005</v>
      </c>
      <c r="F16" s="17">
        <f>VLOOKUP(D16,'A13 - Tabelle'!$A$6:$G$13,7)</f>
        <v>40332.25</v>
      </c>
      <c r="G16" s="18">
        <f t="shared" si="0"/>
        <v>37812.25</v>
      </c>
      <c r="H16" s="19"/>
      <c r="I16" s="99"/>
      <c r="J16" s="24"/>
      <c r="K16" s="17"/>
      <c r="L16" s="17"/>
      <c r="M16" s="20"/>
      <c r="N16" s="47"/>
      <c r="O16" s="59"/>
      <c r="P16" s="270"/>
      <c r="R16" s="228"/>
      <c r="S16" s="229">
        <f t="shared" si="1"/>
        <v>4505.52</v>
      </c>
      <c r="T16" s="229">
        <f t="shared" si="4"/>
        <v>1020.06</v>
      </c>
      <c r="U16" s="229">
        <f t="shared" si="4"/>
        <v>0</v>
      </c>
      <c r="V16" s="231">
        <f t="shared" si="2"/>
        <v>5525.58</v>
      </c>
    </row>
    <row r="17" spans="1:22" ht="11.25" customHeight="1">
      <c r="A17" s="8">
        <v>11</v>
      </c>
      <c r="B17" s="8">
        <f t="shared" si="3"/>
        <v>37</v>
      </c>
      <c r="C17" s="8"/>
      <c r="D17" s="16">
        <v>4</v>
      </c>
      <c r="E17" s="17">
        <f>VLOOKUP(D17,'A13 - Tabelle'!$A$6:$F$13,6)</f>
        <v>54066.240000000005</v>
      </c>
      <c r="F17" s="17">
        <f>VLOOKUP(D17,'A13 - Tabelle'!$A$6:$G$13,7)</f>
        <v>40332.25</v>
      </c>
      <c r="G17" s="18">
        <f t="shared" si="0"/>
        <v>37812.25</v>
      </c>
      <c r="H17" s="19"/>
      <c r="I17" s="99"/>
      <c r="J17" s="24"/>
      <c r="K17" s="17"/>
      <c r="L17" s="17"/>
      <c r="M17" s="20"/>
      <c r="N17" s="47"/>
      <c r="O17" s="59"/>
      <c r="P17" s="270"/>
      <c r="R17" s="228"/>
      <c r="S17" s="229">
        <f t="shared" si="1"/>
        <v>4505.52</v>
      </c>
      <c r="T17" s="229">
        <f t="shared" si="4"/>
        <v>1020.06</v>
      </c>
      <c r="U17" s="229">
        <f t="shared" si="4"/>
        <v>0</v>
      </c>
      <c r="V17" s="231">
        <f t="shared" si="2"/>
        <v>5525.58</v>
      </c>
    </row>
    <row r="18" spans="1:22" ht="11.25" customHeight="1">
      <c r="A18" s="8">
        <v>12</v>
      </c>
      <c r="B18" s="8">
        <f t="shared" si="3"/>
        <v>38</v>
      </c>
      <c r="C18" s="8"/>
      <c r="D18" s="16">
        <v>5</v>
      </c>
      <c r="E18" s="17">
        <f>VLOOKUP(D18,'A13 - Tabelle'!$A$6:$F$13,6)</f>
        <v>56257.68000000001</v>
      </c>
      <c r="F18" s="17">
        <f>VLOOKUP(D18,'A13 - Tabelle'!$A$6:$G$13,7)</f>
        <v>41572.08</v>
      </c>
      <c r="G18" s="18">
        <f t="shared" si="0"/>
        <v>39052.08</v>
      </c>
      <c r="H18" s="19"/>
      <c r="I18" s="99"/>
      <c r="J18" s="24"/>
      <c r="K18" s="17"/>
      <c r="L18" s="17"/>
      <c r="M18" s="20"/>
      <c r="N18" s="47"/>
      <c r="O18" s="59"/>
      <c r="P18" s="270"/>
      <c r="R18" s="228"/>
      <c r="S18" s="229">
        <f t="shared" si="1"/>
        <v>4688.14</v>
      </c>
      <c r="T18" s="229">
        <f t="shared" si="4"/>
        <v>1020.06</v>
      </c>
      <c r="U18" s="229">
        <f t="shared" si="4"/>
        <v>0</v>
      </c>
      <c r="V18" s="231">
        <f t="shared" si="2"/>
        <v>5708.200000000001</v>
      </c>
    </row>
    <row r="19" spans="1:22" ht="11.25" customHeight="1">
      <c r="A19" s="8">
        <v>13</v>
      </c>
      <c r="B19" s="8">
        <f t="shared" si="3"/>
        <v>39</v>
      </c>
      <c r="C19" s="8"/>
      <c r="D19" s="16">
        <v>5</v>
      </c>
      <c r="E19" s="17">
        <f>VLOOKUP(D19,'A13 - Tabelle'!$A$6:$F$13,6)</f>
        <v>56257.68000000001</v>
      </c>
      <c r="F19" s="17">
        <f>VLOOKUP(D19,'A13 - Tabelle'!$A$6:$G$13,7)</f>
        <v>41572.08</v>
      </c>
      <c r="G19" s="18">
        <f t="shared" si="0"/>
        <v>39052.08</v>
      </c>
      <c r="H19" s="19"/>
      <c r="I19" s="99"/>
      <c r="J19" s="24"/>
      <c r="K19" s="17"/>
      <c r="L19" s="17"/>
      <c r="M19" s="20"/>
      <c r="N19" s="47"/>
      <c r="O19" s="59"/>
      <c r="P19" s="270"/>
      <c r="R19" s="228"/>
      <c r="S19" s="229">
        <f t="shared" si="1"/>
        <v>4688.14</v>
      </c>
      <c r="T19" s="229">
        <f t="shared" si="4"/>
        <v>1020.06</v>
      </c>
      <c r="U19" s="229">
        <f t="shared" si="4"/>
        <v>0</v>
      </c>
      <c r="V19" s="231">
        <f t="shared" si="2"/>
        <v>5708.200000000001</v>
      </c>
    </row>
    <row r="20" spans="1:22" ht="11.25" customHeight="1">
      <c r="A20" s="8">
        <v>14</v>
      </c>
      <c r="B20" s="8">
        <f t="shared" si="3"/>
        <v>40</v>
      </c>
      <c r="C20" s="8"/>
      <c r="D20" s="16">
        <v>5</v>
      </c>
      <c r="E20" s="17">
        <f>VLOOKUP(D20,'A13 - Tabelle'!$A$6:$F$13,6)</f>
        <v>56257.68000000001</v>
      </c>
      <c r="F20" s="17">
        <f>VLOOKUP(D20,'A13 - Tabelle'!$A$6:$G$13,7)</f>
        <v>41572.08</v>
      </c>
      <c r="G20" s="18">
        <f t="shared" si="0"/>
        <v>39052.08</v>
      </c>
      <c r="H20" s="19"/>
      <c r="I20" s="99"/>
      <c r="J20" s="24"/>
      <c r="K20" s="17"/>
      <c r="L20" s="17"/>
      <c r="M20" s="20"/>
      <c r="N20" s="47"/>
      <c r="O20" s="59"/>
      <c r="P20" s="270"/>
      <c r="R20" s="228"/>
      <c r="S20" s="229">
        <f t="shared" si="1"/>
        <v>4688.14</v>
      </c>
      <c r="T20" s="229">
        <f t="shared" si="4"/>
        <v>1020.06</v>
      </c>
      <c r="U20" s="229">
        <f t="shared" si="4"/>
        <v>0</v>
      </c>
      <c r="V20" s="231">
        <f t="shared" si="2"/>
        <v>5708.200000000001</v>
      </c>
    </row>
    <row r="21" spans="1:22" ht="11.25" customHeight="1">
      <c r="A21" s="8">
        <v>15</v>
      </c>
      <c r="B21" s="8">
        <f t="shared" si="3"/>
        <v>41</v>
      </c>
      <c r="C21" s="8"/>
      <c r="D21" s="16">
        <v>5</v>
      </c>
      <c r="E21" s="17">
        <f>VLOOKUP(D21,'A13 - Tabelle'!$A$6:$F$13,6)</f>
        <v>56257.68000000001</v>
      </c>
      <c r="F21" s="17">
        <f>VLOOKUP(D21,'A13 - Tabelle'!$A$6:$G$13,7)</f>
        <v>41572.08</v>
      </c>
      <c r="G21" s="18">
        <f t="shared" si="0"/>
        <v>39052.08</v>
      </c>
      <c r="H21" s="19"/>
      <c r="I21" s="99"/>
      <c r="J21" s="24"/>
      <c r="K21" s="17"/>
      <c r="L21" s="17"/>
      <c r="M21" s="20"/>
      <c r="N21" s="47"/>
      <c r="O21" s="59"/>
      <c r="P21" s="270"/>
      <c r="R21" s="228"/>
      <c r="S21" s="229">
        <f t="shared" si="1"/>
        <v>4688.14</v>
      </c>
      <c r="T21" s="229">
        <f t="shared" si="4"/>
        <v>1020.06</v>
      </c>
      <c r="U21" s="229">
        <f t="shared" si="4"/>
        <v>0</v>
      </c>
      <c r="V21" s="231">
        <f t="shared" si="2"/>
        <v>5708.200000000001</v>
      </c>
    </row>
    <row r="22" spans="1:22" ht="11.25" customHeight="1">
      <c r="A22" s="8">
        <v>16</v>
      </c>
      <c r="B22" s="8">
        <f t="shared" si="3"/>
        <v>42</v>
      </c>
      <c r="C22" s="8"/>
      <c r="D22" s="16">
        <v>6</v>
      </c>
      <c r="E22" s="17">
        <f>VLOOKUP(D22,'A13 - Tabelle'!$A$6:$F$13,6)</f>
        <v>57295.799999999996</v>
      </c>
      <c r="F22" s="17">
        <f>VLOOKUP(D22,'A13 - Tabelle'!$A$6:$G$13,7)</f>
        <v>42151.28</v>
      </c>
      <c r="G22" s="18">
        <f t="shared" si="0"/>
        <v>39631.28</v>
      </c>
      <c r="H22" s="19"/>
      <c r="I22" s="99"/>
      <c r="J22" s="24"/>
      <c r="K22" s="17"/>
      <c r="L22" s="17"/>
      <c r="M22" s="20"/>
      <c r="N22" s="47"/>
      <c r="O22" s="59"/>
      <c r="P22" s="270"/>
      <c r="R22" s="228"/>
      <c r="S22" s="229">
        <f t="shared" si="1"/>
        <v>4774.65</v>
      </c>
      <c r="T22" s="229">
        <f t="shared" si="4"/>
        <v>1020.06</v>
      </c>
      <c r="U22" s="229">
        <f t="shared" si="4"/>
        <v>0</v>
      </c>
      <c r="V22" s="231">
        <f t="shared" si="2"/>
        <v>5794.709999999999</v>
      </c>
    </row>
    <row r="23" spans="1:22" ht="11.25" customHeight="1">
      <c r="A23" s="8">
        <v>17</v>
      </c>
      <c r="B23" s="8">
        <f t="shared" si="3"/>
        <v>43</v>
      </c>
      <c r="C23" s="8"/>
      <c r="D23" s="16">
        <v>6</v>
      </c>
      <c r="E23" s="17">
        <f>VLOOKUP(D23,'A13 - Tabelle'!$A$6:$F$13,6)</f>
        <v>57295.799999999996</v>
      </c>
      <c r="F23" s="17">
        <f>VLOOKUP(D23,'A13 - Tabelle'!$A$6:$G$13,7)</f>
        <v>42151.28</v>
      </c>
      <c r="G23" s="18">
        <f t="shared" si="0"/>
        <v>39631.28</v>
      </c>
      <c r="H23" s="19"/>
      <c r="I23" s="99"/>
      <c r="J23" s="24"/>
      <c r="K23" s="17"/>
      <c r="L23" s="17"/>
      <c r="M23" s="20"/>
      <c r="N23" s="47"/>
      <c r="O23" s="59"/>
      <c r="P23" s="270"/>
      <c r="R23" s="228"/>
      <c r="S23" s="229">
        <f t="shared" si="1"/>
        <v>4774.65</v>
      </c>
      <c r="T23" s="229">
        <f t="shared" si="4"/>
        <v>1020.06</v>
      </c>
      <c r="U23" s="229">
        <f t="shared" si="4"/>
        <v>0</v>
      </c>
      <c r="V23" s="231">
        <f t="shared" si="2"/>
        <v>5794.709999999999</v>
      </c>
    </row>
    <row r="24" spans="1:22" ht="11.25" customHeight="1">
      <c r="A24" s="8">
        <v>18</v>
      </c>
      <c r="B24" s="8">
        <f t="shared" si="3"/>
        <v>44</v>
      </c>
      <c r="C24" s="8"/>
      <c r="D24" s="16">
        <v>6</v>
      </c>
      <c r="E24" s="17">
        <f>VLOOKUP(D24,'A13 - Tabelle'!$A$6:$F$13,6)</f>
        <v>57295.799999999996</v>
      </c>
      <c r="F24" s="17">
        <f>VLOOKUP(D24,'A13 - Tabelle'!$A$6:$G$13,7)</f>
        <v>42151.28</v>
      </c>
      <c r="G24" s="18">
        <f t="shared" si="0"/>
        <v>39631.28</v>
      </c>
      <c r="H24" s="19"/>
      <c r="I24" s="99"/>
      <c r="J24" s="24"/>
      <c r="K24" s="17"/>
      <c r="L24" s="17"/>
      <c r="M24" s="20"/>
      <c r="N24" s="47"/>
      <c r="O24" s="59"/>
      <c r="P24" s="270"/>
      <c r="R24" s="228"/>
      <c r="S24" s="229">
        <f t="shared" si="1"/>
        <v>4774.65</v>
      </c>
      <c r="T24" s="229">
        <f t="shared" si="4"/>
        <v>1020.06</v>
      </c>
      <c r="U24" s="229">
        <f t="shared" si="4"/>
        <v>0</v>
      </c>
      <c r="V24" s="231">
        <f t="shared" si="2"/>
        <v>5794.709999999999</v>
      </c>
    </row>
    <row r="25" spans="1:22" ht="11.25" customHeight="1">
      <c r="A25" s="8">
        <v>19</v>
      </c>
      <c r="B25" s="8">
        <f t="shared" si="3"/>
        <v>45</v>
      </c>
      <c r="C25" s="8"/>
      <c r="D25" s="16">
        <v>6</v>
      </c>
      <c r="E25" s="17">
        <f>VLOOKUP(D25,'A13 - Tabelle'!$A$6:$F$13,6)</f>
        <v>57295.799999999996</v>
      </c>
      <c r="F25" s="17">
        <f>VLOOKUP(D25,'A13 - Tabelle'!$A$6:$G$13,7)</f>
        <v>42151.28</v>
      </c>
      <c r="G25" s="18">
        <f t="shared" si="0"/>
        <v>39631.28</v>
      </c>
      <c r="H25" s="19"/>
      <c r="I25" s="99"/>
      <c r="J25" s="24"/>
      <c r="K25" s="17"/>
      <c r="L25" s="17"/>
      <c r="M25" s="20"/>
      <c r="N25" s="47"/>
      <c r="O25" s="59"/>
      <c r="P25" s="270"/>
      <c r="R25" s="228"/>
      <c r="S25" s="229">
        <f t="shared" si="1"/>
        <v>4774.65</v>
      </c>
      <c r="T25" s="229">
        <f t="shared" si="4"/>
        <v>1020.06</v>
      </c>
      <c r="U25" s="229">
        <f t="shared" si="4"/>
        <v>0</v>
      </c>
      <c r="V25" s="231">
        <f t="shared" si="2"/>
        <v>5794.709999999999</v>
      </c>
    </row>
    <row r="26" spans="1:22" ht="11.25" customHeight="1">
      <c r="A26" s="8">
        <v>20</v>
      </c>
      <c r="B26" s="8">
        <f t="shared" si="3"/>
        <v>46</v>
      </c>
      <c r="C26" s="8"/>
      <c r="D26" s="16">
        <v>7</v>
      </c>
      <c r="E26" s="17">
        <f>VLOOKUP(D26,'A13 - Tabelle'!$A$6:$F$13,6)</f>
        <v>59487.12</v>
      </c>
      <c r="F26" s="17">
        <f>VLOOKUP(D26,'A13 - Tabelle'!$A$6:$G$13,7)</f>
        <v>43372</v>
      </c>
      <c r="G26" s="18">
        <f t="shared" si="0"/>
        <v>40852</v>
      </c>
      <c r="H26" s="19"/>
      <c r="I26" s="99"/>
      <c r="J26" s="24"/>
      <c r="K26" s="17"/>
      <c r="L26" s="17"/>
      <c r="M26" s="20"/>
      <c r="N26" s="47"/>
      <c r="O26" s="59"/>
      <c r="P26" s="270"/>
      <c r="R26" s="228"/>
      <c r="S26" s="229">
        <f t="shared" si="1"/>
        <v>4957.26</v>
      </c>
      <c r="T26" s="229">
        <f t="shared" si="4"/>
        <v>1020.06</v>
      </c>
      <c r="U26" s="229">
        <f t="shared" si="4"/>
        <v>0</v>
      </c>
      <c r="V26" s="231">
        <f t="shared" si="2"/>
        <v>5977.32</v>
      </c>
    </row>
    <row r="27" spans="1:22" ht="11.25" customHeight="1">
      <c r="A27" s="8">
        <v>21</v>
      </c>
      <c r="B27" s="8">
        <f t="shared" si="3"/>
        <v>47</v>
      </c>
      <c r="C27" s="8"/>
      <c r="D27" s="16">
        <v>7</v>
      </c>
      <c r="E27" s="17">
        <f>VLOOKUP(D27,'A13 - Tabelle'!$A$6:$F$13,6)</f>
        <v>59487.12</v>
      </c>
      <c r="F27" s="17">
        <f>VLOOKUP(D27,'A13 - Tabelle'!$A$6:$G$13,7)</f>
        <v>43372</v>
      </c>
      <c r="G27" s="18">
        <f t="shared" si="0"/>
        <v>40852</v>
      </c>
      <c r="H27" s="19"/>
      <c r="I27" s="99"/>
      <c r="J27" s="24"/>
      <c r="K27" s="17"/>
      <c r="L27" s="17"/>
      <c r="M27" s="20"/>
      <c r="N27" s="47"/>
      <c r="O27" s="59"/>
      <c r="P27" s="270"/>
      <c r="R27" s="228"/>
      <c r="S27" s="229">
        <f t="shared" si="1"/>
        <v>4957.26</v>
      </c>
      <c r="T27" s="229">
        <f t="shared" si="4"/>
        <v>1020.06</v>
      </c>
      <c r="U27" s="229">
        <f t="shared" si="4"/>
        <v>0</v>
      </c>
      <c r="V27" s="231">
        <f t="shared" si="2"/>
        <v>5977.32</v>
      </c>
    </row>
    <row r="28" spans="1:22" ht="11.25" customHeight="1">
      <c r="A28" s="8">
        <v>22</v>
      </c>
      <c r="B28" s="8">
        <f t="shared" si="3"/>
        <v>48</v>
      </c>
      <c r="C28" s="8"/>
      <c r="D28" s="16">
        <v>7</v>
      </c>
      <c r="E28" s="17">
        <f>VLOOKUP(D28,'A13 - Tabelle'!$A$6:$F$13,6)</f>
        <v>59487.12</v>
      </c>
      <c r="F28" s="17">
        <f>VLOOKUP(D28,'A13 - Tabelle'!$A$6:$G$13,7)</f>
        <v>43372</v>
      </c>
      <c r="G28" s="18">
        <f t="shared" si="0"/>
        <v>40852</v>
      </c>
      <c r="H28" s="19"/>
      <c r="I28" s="99"/>
      <c r="J28" s="24"/>
      <c r="K28" s="17"/>
      <c r="L28" s="17"/>
      <c r="M28" s="20"/>
      <c r="N28" s="47"/>
      <c r="O28" s="59"/>
      <c r="P28" s="270"/>
      <c r="R28" s="228"/>
      <c r="S28" s="229">
        <f t="shared" si="1"/>
        <v>4957.26</v>
      </c>
      <c r="T28" s="229">
        <f t="shared" si="4"/>
        <v>1020.06</v>
      </c>
      <c r="U28" s="229">
        <f t="shared" si="4"/>
        <v>0</v>
      </c>
      <c r="V28" s="231">
        <f t="shared" si="2"/>
        <v>5977.32</v>
      </c>
    </row>
    <row r="29" spans="1:22" ht="11.25" customHeight="1">
      <c r="A29" s="8">
        <v>23</v>
      </c>
      <c r="B29" s="8">
        <f t="shared" si="3"/>
        <v>49</v>
      </c>
      <c r="C29" s="8"/>
      <c r="D29" s="16">
        <v>7</v>
      </c>
      <c r="E29" s="17">
        <f>VLOOKUP(D29,'A13 - Tabelle'!$A$6:$F$13,6)</f>
        <v>59487.12</v>
      </c>
      <c r="F29" s="17">
        <f>VLOOKUP(D29,'A13 - Tabelle'!$A$6:$G$13,7)</f>
        <v>43372</v>
      </c>
      <c r="G29" s="18">
        <f t="shared" si="0"/>
        <v>40852</v>
      </c>
      <c r="H29" s="19"/>
      <c r="I29" s="99"/>
      <c r="J29" s="24"/>
      <c r="K29" s="17"/>
      <c r="L29" s="17"/>
      <c r="M29" s="20"/>
      <c r="N29" s="47"/>
      <c r="O29" s="59"/>
      <c r="P29" s="270"/>
      <c r="R29" s="228"/>
      <c r="S29" s="229">
        <f t="shared" si="1"/>
        <v>4957.26</v>
      </c>
      <c r="T29" s="229">
        <f t="shared" si="4"/>
        <v>1020.06</v>
      </c>
      <c r="U29" s="229">
        <f t="shared" si="4"/>
        <v>0</v>
      </c>
      <c r="V29" s="231">
        <f t="shared" si="2"/>
        <v>5977.32</v>
      </c>
    </row>
    <row r="30" spans="1:22" ht="11.25" customHeight="1">
      <c r="A30" s="8">
        <v>24</v>
      </c>
      <c r="B30" s="8">
        <f t="shared" si="3"/>
        <v>50</v>
      </c>
      <c r="C30" s="8"/>
      <c r="D30" s="16">
        <v>8</v>
      </c>
      <c r="E30" s="17">
        <f>VLOOKUP(D30,'A13 - Tabelle'!$A$6:$F$13,6)</f>
        <v>60640.31999999999</v>
      </c>
      <c r="F30" s="17">
        <f>VLOOKUP(D30,'A13 - Tabelle'!$A$6:$G$13,7)</f>
        <v>44013.52</v>
      </c>
      <c r="G30" s="18">
        <f t="shared" si="0"/>
        <v>41493.52</v>
      </c>
      <c r="H30" s="19"/>
      <c r="I30" s="99"/>
      <c r="J30" s="24"/>
      <c r="K30" s="17"/>
      <c r="L30" s="17"/>
      <c r="M30" s="20"/>
      <c r="N30" s="47"/>
      <c r="O30" s="59"/>
      <c r="P30" s="270"/>
      <c r="R30" s="228"/>
      <c r="S30" s="229">
        <f t="shared" si="1"/>
        <v>5053.36</v>
      </c>
      <c r="T30" s="229">
        <f t="shared" si="4"/>
        <v>1020.06</v>
      </c>
      <c r="U30" s="229">
        <f t="shared" si="4"/>
        <v>0</v>
      </c>
      <c r="V30" s="231">
        <f t="shared" si="2"/>
        <v>6073.42</v>
      </c>
    </row>
    <row r="31" spans="1:22" ht="11.25" customHeight="1">
      <c r="A31" s="8">
        <v>25</v>
      </c>
      <c r="B31" s="8">
        <f t="shared" si="3"/>
        <v>51</v>
      </c>
      <c r="C31" s="8"/>
      <c r="D31" s="16">
        <v>8</v>
      </c>
      <c r="E31" s="17">
        <f>VLOOKUP(D31,'A13 - Tabelle'!$A$6:$F$13,6)</f>
        <v>60640.31999999999</v>
      </c>
      <c r="F31" s="17">
        <f>VLOOKUP(D31,'A13 - Tabelle'!$A$6:$G$13,7)</f>
        <v>44013.52</v>
      </c>
      <c r="G31" s="18">
        <f t="shared" si="0"/>
        <v>41493.52</v>
      </c>
      <c r="H31" s="19"/>
      <c r="I31" s="99"/>
      <c r="J31" s="24"/>
      <c r="K31" s="17"/>
      <c r="L31" s="17"/>
      <c r="M31" s="20"/>
      <c r="N31" s="47"/>
      <c r="O31" s="59"/>
      <c r="P31" s="270"/>
      <c r="R31" s="228"/>
      <c r="S31" s="229">
        <f t="shared" si="1"/>
        <v>5053.36</v>
      </c>
      <c r="T31" s="229">
        <f t="shared" si="4"/>
        <v>1020.06</v>
      </c>
      <c r="U31" s="229">
        <f t="shared" si="4"/>
        <v>0</v>
      </c>
      <c r="V31" s="231">
        <f t="shared" si="2"/>
        <v>6073.42</v>
      </c>
    </row>
    <row r="32" spans="1:22" ht="11.25" customHeight="1">
      <c r="A32" s="8">
        <v>26</v>
      </c>
      <c r="B32" s="8">
        <f t="shared" si="3"/>
        <v>52</v>
      </c>
      <c r="C32" s="8"/>
      <c r="D32" s="16">
        <v>8</v>
      </c>
      <c r="E32" s="17">
        <f>VLOOKUP(D32,'A13 - Tabelle'!$A$6:$F$13,6)</f>
        <v>60640.31999999999</v>
      </c>
      <c r="F32" s="17">
        <f>VLOOKUP(D32,'A13 - Tabelle'!$A$6:$G$13,7)</f>
        <v>44013.52</v>
      </c>
      <c r="G32" s="18">
        <f t="shared" si="0"/>
        <v>41493.52</v>
      </c>
      <c r="H32" s="19"/>
      <c r="I32" s="99"/>
      <c r="J32" s="24"/>
      <c r="K32" s="17"/>
      <c r="L32" s="17"/>
      <c r="M32" s="20"/>
      <c r="N32" s="47"/>
      <c r="O32" s="59"/>
      <c r="P32" s="270"/>
      <c r="R32" s="228"/>
      <c r="S32" s="229">
        <f t="shared" si="1"/>
        <v>5053.36</v>
      </c>
      <c r="T32" s="229">
        <f t="shared" si="4"/>
        <v>1020.06</v>
      </c>
      <c r="U32" s="229">
        <f t="shared" si="4"/>
        <v>0</v>
      </c>
      <c r="V32" s="231">
        <f t="shared" si="2"/>
        <v>6073.42</v>
      </c>
    </row>
    <row r="33" spans="1:22" ht="11.25" customHeight="1">
      <c r="A33" s="8">
        <v>27</v>
      </c>
      <c r="B33" s="8">
        <f t="shared" si="3"/>
        <v>53</v>
      </c>
      <c r="C33" s="8"/>
      <c r="D33" s="16">
        <v>8</v>
      </c>
      <c r="E33" s="17">
        <f>VLOOKUP(D33,'A13 - Tabelle'!$A$6:$F$13,6)</f>
        <v>60640.31999999999</v>
      </c>
      <c r="F33" s="17">
        <f>VLOOKUP(D33,'A13 - Tabelle'!$A$6:$G$13,7)</f>
        <v>44013.52</v>
      </c>
      <c r="G33" s="18">
        <f t="shared" si="0"/>
        <v>41493.52</v>
      </c>
      <c r="H33" s="19"/>
      <c r="I33" s="99"/>
      <c r="J33" s="24"/>
      <c r="K33" s="17"/>
      <c r="L33" s="17"/>
      <c r="M33" s="20"/>
      <c r="N33" s="47"/>
      <c r="O33" s="59"/>
      <c r="P33" s="270"/>
      <c r="R33" s="228"/>
      <c r="S33" s="229">
        <f t="shared" si="1"/>
        <v>5053.36</v>
      </c>
      <c r="T33" s="229">
        <f t="shared" si="4"/>
        <v>1020.06</v>
      </c>
      <c r="U33" s="229">
        <f t="shared" si="4"/>
        <v>0</v>
      </c>
      <c r="V33" s="231">
        <f t="shared" si="2"/>
        <v>6073.42</v>
      </c>
    </row>
    <row r="34" spans="1:22" ht="11.25" customHeight="1">
      <c r="A34" s="8">
        <v>28</v>
      </c>
      <c r="B34" s="8">
        <f t="shared" si="3"/>
        <v>54</v>
      </c>
      <c r="C34" s="8"/>
      <c r="D34" s="16">
        <v>8</v>
      </c>
      <c r="E34" s="17">
        <f>VLOOKUP(D34,'A13 - Tabelle'!$A$6:$F$13,6)</f>
        <v>60640.31999999999</v>
      </c>
      <c r="F34" s="17">
        <f>VLOOKUP(D34,'A13 - Tabelle'!$A$6:$G$13,7)</f>
        <v>44013.52</v>
      </c>
      <c r="G34" s="18">
        <f t="shared" si="0"/>
        <v>41493.52</v>
      </c>
      <c r="H34" s="19"/>
      <c r="I34" s="99"/>
      <c r="J34" s="24"/>
      <c r="K34" s="17"/>
      <c r="L34" s="17"/>
      <c r="M34" s="20"/>
      <c r="N34" s="47"/>
      <c r="O34" s="59"/>
      <c r="P34" s="270"/>
      <c r="R34" s="228"/>
      <c r="S34" s="229">
        <f t="shared" si="1"/>
        <v>5053.36</v>
      </c>
      <c r="T34" s="229">
        <f t="shared" si="4"/>
        <v>1020.06</v>
      </c>
      <c r="U34" s="229">
        <f t="shared" si="4"/>
        <v>0</v>
      </c>
      <c r="V34" s="231">
        <f t="shared" si="2"/>
        <v>6073.42</v>
      </c>
    </row>
    <row r="35" spans="1:22" ht="11.25" customHeight="1">
      <c r="A35" s="8">
        <v>29</v>
      </c>
      <c r="B35" s="8">
        <f t="shared" si="3"/>
        <v>55</v>
      </c>
      <c r="C35" s="8"/>
      <c r="D35" s="16">
        <v>8</v>
      </c>
      <c r="E35" s="17">
        <f>VLOOKUP(D35,'A13 - Tabelle'!$A$6:$F$13,6)</f>
        <v>60640.31999999999</v>
      </c>
      <c r="F35" s="17">
        <f>VLOOKUP(D35,'A13 - Tabelle'!$A$6:$G$13,7)</f>
        <v>44013.52</v>
      </c>
      <c r="G35" s="18">
        <f t="shared" si="0"/>
        <v>41493.52</v>
      </c>
      <c r="H35" s="19"/>
      <c r="I35" s="99"/>
      <c r="J35" s="24"/>
      <c r="K35" s="17"/>
      <c r="L35" s="17"/>
      <c r="M35" s="20"/>
      <c r="N35" s="47"/>
      <c r="O35" s="59"/>
      <c r="P35" s="270"/>
      <c r="R35" s="228"/>
      <c r="S35" s="229">
        <f t="shared" si="1"/>
        <v>5053.36</v>
      </c>
      <c r="T35" s="229">
        <f t="shared" si="4"/>
        <v>1020.06</v>
      </c>
      <c r="U35" s="229">
        <f t="shared" si="4"/>
        <v>0</v>
      </c>
      <c r="V35" s="231">
        <f t="shared" si="2"/>
        <v>6073.42</v>
      </c>
    </row>
    <row r="36" spans="1:22" ht="11.25" customHeight="1">
      <c r="A36" s="8">
        <v>30</v>
      </c>
      <c r="B36" s="8">
        <f t="shared" si="3"/>
        <v>56</v>
      </c>
      <c r="C36" s="8"/>
      <c r="D36" s="16">
        <v>8</v>
      </c>
      <c r="E36" s="17">
        <f>VLOOKUP(D36,'A13 - Tabelle'!$A$6:$F$13,6)</f>
        <v>60640.31999999999</v>
      </c>
      <c r="F36" s="17">
        <f>VLOOKUP(D36,'A13 - Tabelle'!$A$6:$G$13,7)</f>
        <v>44013.52</v>
      </c>
      <c r="G36" s="18">
        <f t="shared" si="0"/>
        <v>41493.52</v>
      </c>
      <c r="H36" s="19"/>
      <c r="I36" s="99"/>
      <c r="J36" s="24"/>
      <c r="K36" s="17"/>
      <c r="L36" s="17"/>
      <c r="M36" s="20"/>
      <c r="N36" s="47"/>
      <c r="O36" s="59"/>
      <c r="P36" s="270"/>
      <c r="R36" s="228"/>
      <c r="S36" s="229">
        <f t="shared" si="1"/>
        <v>5053.36</v>
      </c>
      <c r="T36" s="229">
        <f t="shared" si="4"/>
        <v>1020.06</v>
      </c>
      <c r="U36" s="229">
        <f t="shared" si="4"/>
        <v>0</v>
      </c>
      <c r="V36" s="231">
        <f t="shared" si="2"/>
        <v>6073.42</v>
      </c>
    </row>
    <row r="37" spans="1:22" ht="11.25" customHeight="1">
      <c r="A37" s="8">
        <v>31</v>
      </c>
      <c r="B37" s="8">
        <f t="shared" si="3"/>
        <v>57</v>
      </c>
      <c r="C37" s="8"/>
      <c r="D37" s="16">
        <v>8</v>
      </c>
      <c r="E37" s="17">
        <f>VLOOKUP(D37,'A13 - Tabelle'!$A$6:$F$13,6)</f>
        <v>60640.31999999999</v>
      </c>
      <c r="F37" s="17">
        <f>VLOOKUP(D37,'A13 - Tabelle'!$A$6:$G$13,7)</f>
        <v>44013.52</v>
      </c>
      <c r="G37" s="18">
        <f t="shared" si="0"/>
        <v>41493.52</v>
      </c>
      <c r="H37" s="19"/>
      <c r="I37" s="99"/>
      <c r="J37" s="24"/>
      <c r="K37" s="17"/>
      <c r="L37" s="17"/>
      <c r="M37" s="20"/>
      <c r="N37" s="47"/>
      <c r="O37" s="59"/>
      <c r="P37" s="270"/>
      <c r="R37" s="228"/>
      <c r="S37" s="229">
        <f t="shared" si="1"/>
        <v>5053.36</v>
      </c>
      <c r="T37" s="229">
        <f t="shared" si="4"/>
        <v>1020.06</v>
      </c>
      <c r="U37" s="229">
        <f t="shared" si="4"/>
        <v>0</v>
      </c>
      <c r="V37" s="231">
        <f t="shared" si="2"/>
        <v>6073.42</v>
      </c>
    </row>
    <row r="38" spans="1:22" ht="11.25" customHeight="1">
      <c r="A38" s="8">
        <v>32</v>
      </c>
      <c r="B38" s="8">
        <f t="shared" si="3"/>
        <v>58</v>
      </c>
      <c r="C38" s="8"/>
      <c r="D38" s="16">
        <v>8</v>
      </c>
      <c r="E38" s="17">
        <f>VLOOKUP(D38,'A13 - Tabelle'!$A$6:$F$13,6)</f>
        <v>60640.31999999999</v>
      </c>
      <c r="F38" s="17">
        <f>VLOOKUP(D38,'A13 - Tabelle'!$A$6:$G$13,7)</f>
        <v>44013.52</v>
      </c>
      <c r="G38" s="18">
        <f t="shared" si="0"/>
        <v>41493.52</v>
      </c>
      <c r="H38" s="19"/>
      <c r="I38" s="99"/>
      <c r="J38" s="24"/>
      <c r="K38" s="17"/>
      <c r="L38" s="17"/>
      <c r="M38" s="20"/>
      <c r="N38" s="47"/>
      <c r="O38" s="59"/>
      <c r="P38" s="270"/>
      <c r="R38" s="228"/>
      <c r="S38" s="229">
        <f t="shared" si="1"/>
        <v>5053.36</v>
      </c>
      <c r="T38" s="229">
        <f t="shared" si="4"/>
        <v>1020.06</v>
      </c>
      <c r="U38" s="229">
        <f t="shared" si="4"/>
        <v>0</v>
      </c>
      <c r="V38" s="231">
        <f t="shared" si="2"/>
        <v>6073.42</v>
      </c>
    </row>
    <row r="39" spans="1:22" ht="11.25" customHeight="1">
      <c r="A39" s="8">
        <v>33</v>
      </c>
      <c r="B39" s="8">
        <f t="shared" si="3"/>
        <v>59</v>
      </c>
      <c r="C39" s="8"/>
      <c r="D39" s="16">
        <v>8</v>
      </c>
      <c r="E39" s="17">
        <f>VLOOKUP(D39,'A13 - Tabelle'!$A$6:$F$13,6)</f>
        <v>60640.31999999999</v>
      </c>
      <c r="F39" s="17">
        <f>VLOOKUP(D39,'A13 - Tabelle'!$A$6:$G$13,7)</f>
        <v>44013.52</v>
      </c>
      <c r="G39" s="18">
        <f t="shared" si="0"/>
        <v>41493.52</v>
      </c>
      <c r="H39" s="19"/>
      <c r="I39" s="99"/>
      <c r="J39" s="24"/>
      <c r="K39" s="17"/>
      <c r="L39" s="17"/>
      <c r="M39" s="20"/>
      <c r="N39" s="47"/>
      <c r="O39" s="59"/>
      <c r="P39" s="270"/>
      <c r="R39" s="228"/>
      <c r="S39" s="229">
        <f t="shared" si="1"/>
        <v>5053.36</v>
      </c>
      <c r="T39" s="229">
        <f t="shared" si="4"/>
        <v>1020.06</v>
      </c>
      <c r="U39" s="229">
        <f t="shared" si="4"/>
        <v>0</v>
      </c>
      <c r="V39" s="231">
        <f t="shared" si="2"/>
        <v>6073.42</v>
      </c>
    </row>
    <row r="40" spans="1:22" ht="11.25" customHeight="1">
      <c r="A40" s="8">
        <v>34</v>
      </c>
      <c r="B40" s="8">
        <f t="shared" si="3"/>
        <v>60</v>
      </c>
      <c r="C40" s="8"/>
      <c r="D40" s="16">
        <v>8</v>
      </c>
      <c r="E40" s="17">
        <f>VLOOKUP(D40,'A13 - Tabelle'!$A$6:$F$13,6)</f>
        <v>60640.31999999999</v>
      </c>
      <c r="F40" s="17">
        <f>VLOOKUP(D40,'A13 - Tabelle'!$A$6:$G$13,7)</f>
        <v>44013.52</v>
      </c>
      <c r="G40" s="18">
        <f t="shared" si="0"/>
        <v>41493.52</v>
      </c>
      <c r="H40" s="19"/>
      <c r="I40" s="99"/>
      <c r="J40" s="24"/>
      <c r="K40" s="17"/>
      <c r="L40" s="17"/>
      <c r="M40" s="20"/>
      <c r="N40" s="47"/>
      <c r="O40" s="59"/>
      <c r="P40" s="270"/>
      <c r="R40" s="228"/>
      <c r="S40" s="229">
        <f t="shared" si="1"/>
        <v>5053.36</v>
      </c>
      <c r="T40" s="229">
        <f t="shared" si="4"/>
        <v>1020.06</v>
      </c>
      <c r="U40" s="229">
        <f t="shared" si="4"/>
        <v>0</v>
      </c>
      <c r="V40" s="231">
        <f t="shared" si="2"/>
        <v>6073.42</v>
      </c>
    </row>
    <row r="41" spans="1:22" ht="11.25" customHeight="1">
      <c r="A41" s="8">
        <v>35</v>
      </c>
      <c r="B41" s="8">
        <f t="shared" si="3"/>
        <v>61</v>
      </c>
      <c r="C41" s="8"/>
      <c r="D41" s="16">
        <v>8</v>
      </c>
      <c r="E41" s="17">
        <f>VLOOKUP(D41,'A13 - Tabelle'!$A$6:$F$13,6)</f>
        <v>60640.31999999999</v>
      </c>
      <c r="F41" s="17">
        <f>VLOOKUP(D41,'A13 - Tabelle'!$A$6:$G$13,7)</f>
        <v>44013.52</v>
      </c>
      <c r="G41" s="18">
        <f t="shared" si="0"/>
        <v>41493.52</v>
      </c>
      <c r="H41" s="19"/>
      <c r="I41" s="99"/>
      <c r="J41" s="24"/>
      <c r="K41" s="17"/>
      <c r="L41" s="17"/>
      <c r="M41" s="20"/>
      <c r="N41" s="47"/>
      <c r="O41" s="59"/>
      <c r="P41" s="270"/>
      <c r="R41" s="228"/>
      <c r="S41" s="229">
        <f t="shared" si="1"/>
        <v>5053.36</v>
      </c>
      <c r="T41" s="229">
        <f t="shared" si="4"/>
        <v>1020.06</v>
      </c>
      <c r="U41" s="229">
        <f t="shared" si="4"/>
        <v>0</v>
      </c>
      <c r="V41" s="231">
        <f t="shared" si="2"/>
        <v>6073.42</v>
      </c>
    </row>
    <row r="42" spans="1:22" ht="11.25" customHeight="1">
      <c r="A42" s="8">
        <v>36</v>
      </c>
      <c r="B42" s="8">
        <f t="shared" si="3"/>
        <v>62</v>
      </c>
      <c r="C42" s="8"/>
      <c r="D42" s="16">
        <v>8</v>
      </c>
      <c r="E42" s="17">
        <f>VLOOKUP(D42,'A13 - Tabelle'!$A$6:$F$13,6)</f>
        <v>60640.31999999999</v>
      </c>
      <c r="F42" s="17">
        <f>VLOOKUP(D42,'A13 - Tabelle'!$A$6:$G$13,7)</f>
        <v>44013.52</v>
      </c>
      <c r="G42" s="18">
        <f t="shared" si="0"/>
        <v>41493.52</v>
      </c>
      <c r="H42" s="19"/>
      <c r="I42" s="99"/>
      <c r="J42" s="24"/>
      <c r="K42" s="17"/>
      <c r="L42" s="17"/>
      <c r="M42" s="20"/>
      <c r="N42" s="47"/>
      <c r="O42" s="59"/>
      <c r="P42" s="270"/>
      <c r="R42" s="228"/>
      <c r="S42" s="229">
        <f t="shared" si="1"/>
        <v>5053.36</v>
      </c>
      <c r="T42" s="229">
        <f t="shared" si="4"/>
        <v>1020.06</v>
      </c>
      <c r="U42" s="229">
        <f t="shared" si="4"/>
        <v>0</v>
      </c>
      <c r="V42" s="231">
        <f t="shared" si="2"/>
        <v>6073.42</v>
      </c>
    </row>
    <row r="43" spans="1:22" ht="11.25" customHeight="1">
      <c r="A43" s="8">
        <v>37</v>
      </c>
      <c r="B43" s="8">
        <f t="shared" si="3"/>
        <v>63</v>
      </c>
      <c r="C43" s="8"/>
      <c r="D43" s="16">
        <v>8</v>
      </c>
      <c r="E43" s="17">
        <f>VLOOKUP(D43,'A13 - Tabelle'!$A$6:$F$13,6)</f>
        <v>60640.31999999999</v>
      </c>
      <c r="F43" s="17">
        <f>VLOOKUP(D43,'A13 - Tabelle'!$A$6:$G$13,7)</f>
        <v>44013.52</v>
      </c>
      <c r="G43" s="18">
        <f t="shared" si="0"/>
        <v>41493.52</v>
      </c>
      <c r="H43" s="19"/>
      <c r="I43" s="99"/>
      <c r="J43" s="24"/>
      <c r="K43" s="17"/>
      <c r="L43" s="17"/>
      <c r="M43" s="20"/>
      <c r="N43" s="47"/>
      <c r="O43" s="59"/>
      <c r="P43" s="270"/>
      <c r="R43" s="228"/>
      <c r="S43" s="229">
        <f t="shared" si="1"/>
        <v>5053.36</v>
      </c>
      <c r="T43" s="229">
        <f t="shared" si="4"/>
        <v>1020.06</v>
      </c>
      <c r="U43" s="229">
        <f t="shared" si="4"/>
        <v>0</v>
      </c>
      <c r="V43" s="231">
        <f t="shared" si="2"/>
        <v>6073.42</v>
      </c>
    </row>
    <row r="44" spans="1:22" ht="11.25" customHeight="1">
      <c r="A44" s="8">
        <v>38</v>
      </c>
      <c r="B44" s="8">
        <f t="shared" si="3"/>
        <v>64</v>
      </c>
      <c r="C44" s="8"/>
      <c r="D44" s="16">
        <v>8</v>
      </c>
      <c r="E44" s="17">
        <f>VLOOKUP(D44,'A13 - Tabelle'!$A$6:$F$13,6)</f>
        <v>60640.31999999999</v>
      </c>
      <c r="F44" s="17">
        <f>VLOOKUP(D44,'A13 - Tabelle'!$A$6:$G$13,7)</f>
        <v>44013.52</v>
      </c>
      <c r="G44" s="18">
        <f t="shared" si="0"/>
        <v>41493.52</v>
      </c>
      <c r="H44" s="19"/>
      <c r="I44" s="99"/>
      <c r="J44" s="24"/>
      <c r="K44" s="17"/>
      <c r="L44" s="17"/>
      <c r="M44" s="20"/>
      <c r="N44" s="47"/>
      <c r="O44" s="59"/>
      <c r="P44" s="270"/>
      <c r="R44" s="228"/>
      <c r="S44" s="229">
        <f t="shared" si="1"/>
        <v>5053.36</v>
      </c>
      <c r="T44" s="229">
        <f t="shared" si="4"/>
        <v>1020.06</v>
      </c>
      <c r="U44" s="229">
        <f t="shared" si="4"/>
        <v>0</v>
      </c>
      <c r="V44" s="231">
        <f t="shared" si="2"/>
        <v>6073.42</v>
      </c>
    </row>
    <row r="45" spans="1:22" ht="11.25" customHeight="1">
      <c r="A45" s="8">
        <v>39</v>
      </c>
      <c r="B45" s="8">
        <f t="shared" si="3"/>
        <v>65</v>
      </c>
      <c r="C45" s="8"/>
      <c r="D45" s="16">
        <v>8</v>
      </c>
      <c r="E45" s="17">
        <f>VLOOKUP(D45,'A13 - Tabelle'!$A$6:$F$13,6)</f>
        <v>60640.31999999999</v>
      </c>
      <c r="F45" s="17">
        <f>VLOOKUP(D45,'A13 - Tabelle'!$A$6:$G$13,7)</f>
        <v>44013.52</v>
      </c>
      <c r="G45" s="18">
        <f t="shared" si="0"/>
        <v>41493.52</v>
      </c>
      <c r="H45" s="19"/>
      <c r="I45" s="99"/>
      <c r="J45" s="24"/>
      <c r="K45" s="17"/>
      <c r="L45" s="17"/>
      <c r="M45" s="20"/>
      <c r="N45" s="47"/>
      <c r="O45" s="59"/>
      <c r="P45" s="270"/>
      <c r="R45" s="228"/>
      <c r="S45" s="229">
        <f t="shared" si="1"/>
        <v>5053.36</v>
      </c>
      <c r="T45" s="229">
        <f t="shared" si="4"/>
        <v>1020.06</v>
      </c>
      <c r="U45" s="229">
        <f t="shared" si="4"/>
        <v>0</v>
      </c>
      <c r="V45" s="231">
        <f t="shared" si="2"/>
        <v>6073.42</v>
      </c>
    </row>
    <row r="46" spans="1:22" ht="11.25" customHeight="1">
      <c r="A46" s="8">
        <v>40</v>
      </c>
      <c r="B46" s="8">
        <f t="shared" si="3"/>
        <v>66</v>
      </c>
      <c r="C46" s="8"/>
      <c r="D46" s="21">
        <v>8</v>
      </c>
      <c r="E46" s="17">
        <f>VLOOKUP(D46,'A13 - Tabelle'!$A$6:$F$13,6)</f>
        <v>60640.31999999999</v>
      </c>
      <c r="F46" s="17">
        <f>VLOOKUP(D46,'A13 - Tabelle'!$A$6:$G$13,7)</f>
        <v>44013.52</v>
      </c>
      <c r="G46" s="18">
        <f t="shared" si="0"/>
        <v>41493.52</v>
      </c>
      <c r="H46" s="19"/>
      <c r="I46" s="99"/>
      <c r="J46" s="24"/>
      <c r="K46" s="17"/>
      <c r="L46" s="17"/>
      <c r="M46" s="20"/>
      <c r="N46" s="47"/>
      <c r="O46" s="59"/>
      <c r="P46" s="270"/>
      <c r="R46" s="233"/>
      <c r="S46" s="229">
        <f t="shared" si="1"/>
        <v>5053.36</v>
      </c>
      <c r="T46" s="229">
        <f t="shared" si="4"/>
        <v>1020.06</v>
      </c>
      <c r="U46" s="229">
        <f t="shared" si="4"/>
        <v>0</v>
      </c>
      <c r="V46" s="231">
        <f t="shared" si="2"/>
        <v>6073.42</v>
      </c>
    </row>
    <row r="47" spans="1:22" s="113" customFormat="1" ht="13.5" thickBot="1">
      <c r="A47" s="5"/>
      <c r="B47" s="5"/>
      <c r="C47" s="5"/>
      <c r="D47" s="114" t="s">
        <v>7</v>
      </c>
      <c r="E47" s="115">
        <f>AVERAGE(E7:E46)</f>
        <v>57071.10900000003</v>
      </c>
      <c r="F47" s="115">
        <f>AVERAGE(F7:F46)</f>
        <v>41997.77175000001</v>
      </c>
      <c r="G47" s="108">
        <f>AVERAGE(G7:G46)</f>
        <v>39477.77175000001</v>
      </c>
      <c r="H47" s="109"/>
      <c r="I47" s="110"/>
      <c r="J47" s="110"/>
      <c r="K47" s="109"/>
      <c r="L47" s="109"/>
      <c r="M47" s="111"/>
      <c r="N47" s="112"/>
      <c r="O47" s="111"/>
      <c r="P47" s="296"/>
      <c r="R47" s="234" t="s">
        <v>7</v>
      </c>
      <c r="S47" s="235">
        <f>AVERAGE(S7:S46)</f>
        <v>4755.925749999995</v>
      </c>
      <c r="T47" s="235">
        <f>AVERAGE(T7:T46)</f>
        <v>1020.0599999999998</v>
      </c>
      <c r="U47" s="258">
        <f>AVERAGE(U7:U46)</f>
        <v>0</v>
      </c>
      <c r="V47" s="238">
        <f>AVERAGE(V7:V46)</f>
        <v>5775.985750000005</v>
      </c>
    </row>
    <row r="48" spans="4:22" s="176" customFormat="1" ht="13.5" thickTop="1">
      <c r="D48" s="173" t="s">
        <v>52</v>
      </c>
      <c r="E48" s="174">
        <f>E47/12</f>
        <v>4755.925750000003</v>
      </c>
      <c r="F48" s="174">
        <f>F47/12</f>
        <v>3499.8143125000006</v>
      </c>
      <c r="G48" s="174">
        <f>G47/12</f>
        <v>3289.8143125000006</v>
      </c>
      <c r="H48" s="174"/>
      <c r="I48" s="175"/>
      <c r="J48" s="174"/>
      <c r="K48" s="174"/>
      <c r="L48" s="174"/>
      <c r="M48" s="177"/>
      <c r="N48" s="31"/>
      <c r="O48" s="31"/>
      <c r="P48" s="296"/>
      <c r="R48" s="172"/>
      <c r="S48" s="172"/>
      <c r="T48" s="172"/>
      <c r="V48" s="172"/>
    </row>
    <row r="49" spans="1:22" ht="12.75">
      <c r="A49" s="271"/>
      <c r="B49" s="271"/>
      <c r="C49" s="271"/>
      <c r="D49" s="270"/>
      <c r="E49" s="297"/>
      <c r="F49" s="298"/>
      <c r="G49" s="299"/>
      <c r="H49" s="300"/>
      <c r="I49" s="301"/>
      <c r="J49" s="301"/>
      <c r="K49" s="302"/>
      <c r="L49" s="303"/>
      <c r="M49" s="304"/>
      <c r="N49" s="304"/>
      <c r="O49" s="305"/>
      <c r="P49" s="270"/>
      <c r="R49" s="241" t="s">
        <v>63</v>
      </c>
      <c r="S49" s="239"/>
      <c r="T49" s="239"/>
      <c r="V49" s="239"/>
    </row>
    <row r="50" ht="12.75">
      <c r="R50" s="8" t="s">
        <v>71</v>
      </c>
    </row>
  </sheetData>
  <sheetProtection/>
  <mergeCells count="1">
    <mergeCell ref="D5:G5"/>
  </mergeCells>
  <printOptions/>
  <pageMargins left="0.24" right="0.18" top="0.19" bottom="0.2" header="0.19" footer="0.1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30"/>
  <sheetViews>
    <sheetView zoomScalePageLayoutView="0" workbookViewId="0" topLeftCell="A1">
      <selection activeCell="H18" sqref="H18"/>
    </sheetView>
  </sheetViews>
  <sheetFormatPr defaultColWidth="11.421875" defaultRowHeight="12.75"/>
  <cols>
    <col min="1" max="1" width="15.140625" style="0" customWidth="1"/>
    <col min="2" max="2" width="13.28125" style="151" customWidth="1"/>
    <col min="3" max="3" width="12.7109375" style="132" customWidth="1"/>
    <col min="4" max="4" width="15.57421875" style="132" customWidth="1"/>
    <col min="5" max="5" width="12.7109375" style="1" customWidth="1"/>
    <col min="6" max="6" width="12.7109375" style="4" customWidth="1"/>
    <col min="7" max="7" width="12.7109375" style="6" customWidth="1"/>
    <col min="8" max="8" width="17.00390625" style="2" customWidth="1"/>
    <col min="9" max="9" width="12.421875" style="2" customWidth="1"/>
    <col min="13" max="13" width="11.57421875" style="0" customWidth="1"/>
    <col min="15" max="15" width="11.57421875" style="0" customWidth="1"/>
  </cols>
  <sheetData>
    <row r="1" spans="1:11" ht="12.75">
      <c r="A1" s="2" t="s">
        <v>129</v>
      </c>
      <c r="H1" s="154" t="s">
        <v>9</v>
      </c>
      <c r="I1" s="33">
        <v>210</v>
      </c>
      <c r="K1" s="270"/>
    </row>
    <row r="2" spans="1:11" ht="12.75">
      <c r="A2" s="2"/>
      <c r="K2" s="270"/>
    </row>
    <row r="3" spans="1:11" ht="12.75">
      <c r="A3" s="2"/>
      <c r="B3" s="149" t="s">
        <v>38</v>
      </c>
      <c r="C3" s="133" t="s">
        <v>38</v>
      </c>
      <c r="D3" s="134" t="s">
        <v>49</v>
      </c>
      <c r="E3" s="140" t="s">
        <v>44</v>
      </c>
      <c r="F3" s="143" t="s">
        <v>41</v>
      </c>
      <c r="G3" s="145" t="s">
        <v>41</v>
      </c>
      <c r="H3" s="137" t="s">
        <v>45</v>
      </c>
      <c r="I3" s="147" t="s">
        <v>33</v>
      </c>
      <c r="J3" s="147" t="s">
        <v>33</v>
      </c>
      <c r="K3" s="270"/>
    </row>
    <row r="4" spans="1:11" ht="12.75">
      <c r="A4" s="130" t="s">
        <v>35</v>
      </c>
      <c r="B4" s="140" t="s">
        <v>42</v>
      </c>
      <c r="C4" s="134" t="s">
        <v>42</v>
      </c>
      <c r="D4" s="134" t="s">
        <v>46</v>
      </c>
      <c r="E4" s="140" t="s">
        <v>43</v>
      </c>
      <c r="F4" s="143" t="s">
        <v>34</v>
      </c>
      <c r="G4" s="145" t="s">
        <v>34</v>
      </c>
      <c r="H4" s="137" t="s">
        <v>46</v>
      </c>
      <c r="I4" s="147" t="s">
        <v>90</v>
      </c>
      <c r="J4" s="147" t="s">
        <v>90</v>
      </c>
      <c r="K4" s="270"/>
    </row>
    <row r="5" spans="1:11" ht="12.75">
      <c r="A5" s="130" t="s">
        <v>36</v>
      </c>
      <c r="B5" s="409" t="s">
        <v>138</v>
      </c>
      <c r="C5" s="145" t="s">
        <v>39</v>
      </c>
      <c r="D5" s="134" t="s">
        <v>50</v>
      </c>
      <c r="E5" s="410" t="s">
        <v>138</v>
      </c>
      <c r="F5" s="143" t="s">
        <v>138</v>
      </c>
      <c r="G5" s="145" t="s">
        <v>39</v>
      </c>
      <c r="H5" s="137" t="s">
        <v>50</v>
      </c>
      <c r="I5" s="147"/>
      <c r="J5" s="147" t="s">
        <v>47</v>
      </c>
      <c r="K5" s="270"/>
    </row>
    <row r="6" spans="1:11" ht="12.75">
      <c r="A6" s="130">
        <v>1</v>
      </c>
      <c r="B6" s="141">
        <f>C28</f>
        <v>3849.02</v>
      </c>
      <c r="C6" s="381">
        <f>C29</f>
        <v>2974.17</v>
      </c>
      <c r="D6" s="135">
        <f aca="true" t="shared" si="0" ref="D6:D12">C6-I$1</f>
        <v>2764.17</v>
      </c>
      <c r="E6" s="377">
        <v>900</v>
      </c>
      <c r="F6" s="155">
        <f>B6*12+E6</f>
        <v>47088.24</v>
      </c>
      <c r="G6" s="378">
        <v>36235.46</v>
      </c>
      <c r="H6" s="157">
        <f aca="true" t="shared" si="1" ref="H6:H13">G6-I$1*12</f>
        <v>33715.46</v>
      </c>
      <c r="I6" s="152">
        <f>H6-H$18</f>
        <v>-813.8565000000017</v>
      </c>
      <c r="J6" s="152">
        <f>H6-H$19</f>
        <v>-2111.3700000000026</v>
      </c>
      <c r="K6" s="270"/>
    </row>
    <row r="7" spans="1:11" ht="12.75">
      <c r="A7" s="130">
        <v>2</v>
      </c>
      <c r="B7" s="153">
        <f>D28</f>
        <v>4042.47</v>
      </c>
      <c r="C7" s="382">
        <f>D29</f>
        <v>3090.7</v>
      </c>
      <c r="D7" s="135">
        <f t="shared" si="0"/>
        <v>2880.7</v>
      </c>
      <c r="E7" s="153">
        <f>E$6</f>
        <v>900</v>
      </c>
      <c r="F7" s="155">
        <f aca="true" t="shared" si="2" ref="F7:F13">B7*12+E7</f>
        <v>49409.64</v>
      </c>
      <c r="G7" s="378">
        <v>37624.24</v>
      </c>
      <c r="H7" s="157">
        <f t="shared" si="1"/>
        <v>35104.24</v>
      </c>
      <c r="I7" s="152">
        <f aca="true" t="shared" si="3" ref="I7:I13">H7-H$18</f>
        <v>574.9234999999971</v>
      </c>
      <c r="J7" s="152">
        <f aca="true" t="shared" si="4" ref="J7:J12">H7-H$19</f>
        <v>-722.5900000000038</v>
      </c>
      <c r="K7" s="270"/>
    </row>
    <row r="8" spans="1:11" ht="12.75">
      <c r="A8" s="130">
        <v>3</v>
      </c>
      <c r="B8" s="153">
        <f>E28</f>
        <v>4235.9</v>
      </c>
      <c r="C8" s="381">
        <f>E29</f>
        <v>3205.09</v>
      </c>
      <c r="D8" s="135">
        <f t="shared" si="0"/>
        <v>2995.09</v>
      </c>
      <c r="E8" s="153">
        <f aca="true" t="shared" si="5" ref="E8:E13">E$6</f>
        <v>900</v>
      </c>
      <c r="F8" s="155">
        <f t="shared" si="2"/>
        <v>51730.799999999996</v>
      </c>
      <c r="G8" s="378">
        <v>38986.4</v>
      </c>
      <c r="H8" s="157">
        <f t="shared" si="1"/>
        <v>36466.4</v>
      </c>
      <c r="I8" s="152">
        <f t="shared" si="3"/>
        <v>1937.0835000000006</v>
      </c>
      <c r="J8" s="152">
        <f t="shared" si="4"/>
        <v>639.5699999999997</v>
      </c>
      <c r="K8" s="270"/>
    </row>
    <row r="9" spans="1:11" ht="12.75">
      <c r="A9" s="130">
        <v>4</v>
      </c>
      <c r="B9" s="153">
        <f>F28</f>
        <v>4430.52</v>
      </c>
      <c r="C9" s="382">
        <f>F29</f>
        <v>3318.12</v>
      </c>
      <c r="D9" s="135">
        <f t="shared" si="0"/>
        <v>3108.12</v>
      </c>
      <c r="E9" s="153">
        <f t="shared" si="5"/>
        <v>900</v>
      </c>
      <c r="F9" s="155">
        <f t="shared" si="2"/>
        <v>54066.240000000005</v>
      </c>
      <c r="G9" s="378">
        <v>40332.25</v>
      </c>
      <c r="H9" s="157">
        <f t="shared" si="1"/>
        <v>37812.25</v>
      </c>
      <c r="I9" s="152">
        <f t="shared" si="3"/>
        <v>3282.933499999999</v>
      </c>
      <c r="J9" s="152">
        <f t="shared" si="4"/>
        <v>1985.4199999999983</v>
      </c>
      <c r="K9" s="270"/>
    </row>
    <row r="10" spans="1:11" ht="12.75">
      <c r="A10" s="130">
        <v>5</v>
      </c>
      <c r="B10" s="153">
        <f>G28</f>
        <v>4613.14</v>
      </c>
      <c r="C10" s="381">
        <f>G29</f>
        <v>3422.14</v>
      </c>
      <c r="D10" s="135">
        <f t="shared" si="0"/>
        <v>3212.14</v>
      </c>
      <c r="E10" s="153">
        <f t="shared" si="5"/>
        <v>900</v>
      </c>
      <c r="F10" s="155">
        <f>B10*12+E10</f>
        <v>56257.68000000001</v>
      </c>
      <c r="G10" s="378">
        <v>41572.08</v>
      </c>
      <c r="H10" s="157">
        <f t="shared" si="1"/>
        <v>39052.08</v>
      </c>
      <c r="I10" s="152">
        <f t="shared" si="3"/>
        <v>4522.763500000001</v>
      </c>
      <c r="J10" s="152">
        <f t="shared" si="4"/>
        <v>3225.25</v>
      </c>
      <c r="K10" s="270"/>
    </row>
    <row r="11" spans="1:11" ht="12.75">
      <c r="A11" s="130">
        <v>6</v>
      </c>
      <c r="B11" s="153">
        <f>H28</f>
        <v>4699.65</v>
      </c>
      <c r="C11" s="382">
        <f>H29</f>
        <v>3470.76</v>
      </c>
      <c r="D11" s="135">
        <f t="shared" si="0"/>
        <v>3260.76</v>
      </c>
      <c r="E11" s="153">
        <f t="shared" si="5"/>
        <v>900</v>
      </c>
      <c r="F11" s="155">
        <f t="shared" si="2"/>
        <v>57295.799999999996</v>
      </c>
      <c r="G11" s="378">
        <v>42151.28</v>
      </c>
      <c r="H11" s="157">
        <f t="shared" si="1"/>
        <v>39631.28</v>
      </c>
      <c r="I11" s="152">
        <f t="shared" si="3"/>
        <v>5101.963499999998</v>
      </c>
      <c r="J11" s="152">
        <f t="shared" si="4"/>
        <v>3804.449999999997</v>
      </c>
      <c r="K11" s="270"/>
    </row>
    <row r="12" spans="1:11" ht="12.75">
      <c r="A12" s="130">
        <v>7</v>
      </c>
      <c r="B12" s="153">
        <f>I28</f>
        <v>4882.26</v>
      </c>
      <c r="C12" s="381">
        <f>I29</f>
        <v>3572.58</v>
      </c>
      <c r="D12" s="135">
        <f t="shared" si="0"/>
        <v>3362.58</v>
      </c>
      <c r="E12" s="153">
        <f t="shared" si="5"/>
        <v>900</v>
      </c>
      <c r="F12" s="155">
        <f t="shared" si="2"/>
        <v>59487.12</v>
      </c>
      <c r="G12" s="378">
        <v>43372</v>
      </c>
      <c r="H12" s="157">
        <f t="shared" si="1"/>
        <v>40852</v>
      </c>
      <c r="I12" s="152">
        <f t="shared" si="3"/>
        <v>6322.683499999999</v>
      </c>
      <c r="J12" s="152">
        <f t="shared" si="4"/>
        <v>5025.169999999998</v>
      </c>
      <c r="K12" s="270"/>
    </row>
    <row r="13" spans="1:11" ht="12.75">
      <c r="A13" s="130">
        <v>8</v>
      </c>
      <c r="B13" s="153">
        <f>J28</f>
        <v>4978.36</v>
      </c>
      <c r="C13" s="382">
        <f>J29</f>
        <v>3626.03</v>
      </c>
      <c r="D13" s="135">
        <f>C13-I$1</f>
        <v>3416.03</v>
      </c>
      <c r="E13" s="153">
        <f t="shared" si="5"/>
        <v>900</v>
      </c>
      <c r="F13" s="155">
        <f t="shared" si="2"/>
        <v>60640.31999999999</v>
      </c>
      <c r="G13" s="378">
        <v>44013.52</v>
      </c>
      <c r="H13" s="157">
        <f t="shared" si="1"/>
        <v>41493.52</v>
      </c>
      <c r="I13" s="152">
        <f t="shared" si="3"/>
        <v>6964.203499999996</v>
      </c>
      <c r="J13" s="152">
        <f>H13-H$19</f>
        <v>5666.689999999995</v>
      </c>
      <c r="K13" s="270"/>
    </row>
    <row r="14" spans="1:11" ht="12.75">
      <c r="A14" s="127" t="s">
        <v>86</v>
      </c>
      <c r="B14" s="153">
        <f>B13*0.7175</f>
        <v>3571.9733</v>
      </c>
      <c r="C14" s="135"/>
      <c r="D14" s="158"/>
      <c r="E14" s="153"/>
      <c r="F14" s="155">
        <f>B14*12+E14</f>
        <v>42863.6796</v>
      </c>
      <c r="G14" s="156"/>
      <c r="H14" s="157"/>
      <c r="I14" s="157"/>
      <c r="J14" s="5"/>
      <c r="K14" s="270"/>
    </row>
    <row r="15" spans="2:11" ht="12.75">
      <c r="B15" s="311" t="s">
        <v>91</v>
      </c>
      <c r="C15" s="310" t="s">
        <v>92</v>
      </c>
      <c r="D15" s="158"/>
      <c r="K15" s="270"/>
    </row>
    <row r="16" spans="2:11" ht="12.75">
      <c r="B16" s="153"/>
      <c r="C16" s="158"/>
      <c r="D16" s="158"/>
      <c r="E16" s="5"/>
      <c r="K16" s="270"/>
    </row>
    <row r="17" spans="2:11" ht="12.75">
      <c r="B17" s="376" t="s">
        <v>131</v>
      </c>
      <c r="K17" s="270"/>
    </row>
    <row r="18" spans="7:11" ht="12.75">
      <c r="G18" s="268" t="s">
        <v>88</v>
      </c>
      <c r="H18" s="42">
        <f>'E13 - Modell'!K47</f>
        <v>34529.3165</v>
      </c>
      <c r="I18" s="42"/>
      <c r="K18" s="270"/>
    </row>
    <row r="19" spans="7:11" ht="12.75">
      <c r="G19" s="268" t="s">
        <v>87</v>
      </c>
      <c r="H19" s="42">
        <f>'E13 - Tabelle'!L11</f>
        <v>35826.83</v>
      </c>
      <c r="I19" s="42"/>
      <c r="K19" s="270"/>
    </row>
    <row r="20" ht="12.75">
      <c r="K20" s="270"/>
    </row>
    <row r="21" spans="1:11" ht="12.75">
      <c r="A21" s="22" t="s">
        <v>89</v>
      </c>
      <c r="B21" s="371" t="s">
        <v>130</v>
      </c>
      <c r="K21" s="270"/>
    </row>
    <row r="22" ht="12.75">
      <c r="K22" s="270"/>
    </row>
    <row r="23" spans="1:11" ht="12.75">
      <c r="A23" s="270"/>
      <c r="B23" s="306"/>
      <c r="C23" s="307"/>
      <c r="D23" s="307"/>
      <c r="E23" s="308"/>
      <c r="F23" s="299"/>
      <c r="G23" s="298"/>
      <c r="H23" s="309"/>
      <c r="I23" s="309"/>
      <c r="J23" s="270"/>
      <c r="K23" s="270"/>
    </row>
    <row r="27" spans="1:10" ht="12.75">
      <c r="A27" s="383" t="s">
        <v>18</v>
      </c>
      <c r="B27" s="366" t="s">
        <v>2</v>
      </c>
      <c r="C27" s="363">
        <v>1</v>
      </c>
      <c r="D27" s="363">
        <v>2</v>
      </c>
      <c r="E27" s="364">
        <v>3</v>
      </c>
      <c r="F27" s="364">
        <v>4</v>
      </c>
      <c r="G27" s="364">
        <v>5</v>
      </c>
      <c r="H27" s="363">
        <v>6</v>
      </c>
      <c r="I27" s="363">
        <v>7</v>
      </c>
      <c r="J27" s="363">
        <v>8</v>
      </c>
    </row>
    <row r="28" spans="1:10" ht="12.75">
      <c r="A28" s="362" t="s">
        <v>136</v>
      </c>
      <c r="B28" s="362"/>
      <c r="C28" s="379">
        <v>3849.02</v>
      </c>
      <c r="D28" s="379">
        <v>4042.47</v>
      </c>
      <c r="E28" s="380">
        <v>4235.9</v>
      </c>
      <c r="F28" s="380">
        <v>4430.52</v>
      </c>
      <c r="G28" s="380">
        <v>4613.14</v>
      </c>
      <c r="H28" s="379">
        <v>4699.65</v>
      </c>
      <c r="I28" s="379">
        <v>4882.26</v>
      </c>
      <c r="J28" s="379">
        <v>4978.36</v>
      </c>
    </row>
    <row r="29" spans="1:10" ht="12.75">
      <c r="A29" s="362" t="s">
        <v>135</v>
      </c>
      <c r="B29" s="362"/>
      <c r="C29" s="379">
        <v>2974.17</v>
      </c>
      <c r="D29" s="379">
        <v>3090.7</v>
      </c>
      <c r="E29" s="380">
        <v>3205.09</v>
      </c>
      <c r="F29" s="380">
        <v>3318.12</v>
      </c>
      <c r="G29" s="380">
        <v>3422.14</v>
      </c>
      <c r="H29" s="379">
        <v>3470.76</v>
      </c>
      <c r="I29" s="379">
        <v>3572.58</v>
      </c>
      <c r="J29" s="379">
        <v>3626.03</v>
      </c>
    </row>
    <row r="30" spans="2:10" ht="12.75">
      <c r="B30" s="126"/>
      <c r="C30" s="126"/>
      <c r="D30" s="126"/>
      <c r="E30" s="6"/>
      <c r="F30" s="6"/>
      <c r="H30" s="126"/>
      <c r="I30" s="126"/>
      <c r="J30" s="126"/>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N33"/>
  <sheetViews>
    <sheetView zoomScalePageLayoutView="0" workbookViewId="0" topLeftCell="A1">
      <selection activeCell="A18" sqref="A18:K18"/>
    </sheetView>
  </sheetViews>
  <sheetFormatPr defaultColWidth="11.421875" defaultRowHeight="12.75"/>
  <cols>
    <col min="1" max="1" width="18.00390625" style="0" customWidth="1"/>
    <col min="2" max="2" width="7.140625" style="0" customWidth="1"/>
    <col min="3" max="3" width="8.28125" style="0" customWidth="1"/>
    <col min="4" max="4" width="8.7109375" style="0" customWidth="1"/>
    <col min="5" max="5" width="4.28125" style="0" customWidth="1"/>
    <col min="6" max="6" width="3.7109375" style="0" customWidth="1"/>
    <col min="7" max="7" width="8.28125" style="0" customWidth="1"/>
    <col min="8" max="8" width="8.7109375" style="0" customWidth="1"/>
    <col min="9" max="9" width="4.28125" style="0" customWidth="1"/>
    <col min="10" max="10" width="3.7109375" style="0" customWidth="1"/>
    <col min="11" max="11" width="12.00390625" style="0" customWidth="1"/>
    <col min="12" max="12" width="9.140625" style="0" customWidth="1"/>
    <col min="13" max="13" width="4.28125" style="5" customWidth="1"/>
    <col min="14" max="14" width="3.7109375" style="0" customWidth="1"/>
    <col min="15" max="15" width="3.421875" style="0" customWidth="1"/>
    <col min="16" max="16" width="64.00390625" style="0" customWidth="1"/>
  </cols>
  <sheetData>
    <row r="1" spans="5:10" ht="27.75" customHeight="1">
      <c r="E1" s="36"/>
      <c r="F1" s="36"/>
      <c r="G1" s="36"/>
      <c r="H1" s="36"/>
      <c r="I1" s="36"/>
      <c r="J1" s="36"/>
    </row>
    <row r="2" spans="5:10" ht="24.75" customHeight="1">
      <c r="E2" s="36"/>
      <c r="F2" s="36"/>
      <c r="G2" s="36"/>
      <c r="H2" s="36"/>
      <c r="I2" s="36"/>
      <c r="J2" s="36"/>
    </row>
    <row r="3" spans="5:10" ht="34.5" customHeight="1">
      <c r="E3" s="36"/>
      <c r="F3" s="36"/>
      <c r="G3" s="36"/>
      <c r="H3" s="36"/>
      <c r="I3" s="36"/>
      <c r="J3" s="36"/>
    </row>
    <row r="4" spans="5:10" ht="27" customHeight="1">
      <c r="E4" s="36"/>
      <c r="F4" s="36"/>
      <c r="G4" s="36"/>
      <c r="H4" s="36"/>
      <c r="I4" s="36"/>
      <c r="J4" s="36"/>
    </row>
    <row r="5" spans="5:10" ht="37.5" customHeight="1">
      <c r="E5" s="36"/>
      <c r="F5" s="36"/>
      <c r="G5" s="36"/>
      <c r="H5" s="36"/>
      <c r="I5" s="36"/>
      <c r="J5" s="36"/>
    </row>
    <row r="6" spans="5:10" ht="27" customHeight="1">
      <c r="E6" s="36"/>
      <c r="F6" s="36"/>
      <c r="G6" s="36"/>
      <c r="H6" s="36"/>
      <c r="I6" s="36"/>
      <c r="J6" s="36"/>
    </row>
    <row r="7" spans="5:10" ht="24" customHeight="1">
      <c r="E7" s="36"/>
      <c r="F7" s="36"/>
      <c r="G7" s="36"/>
      <c r="H7" s="36"/>
      <c r="I7" s="36"/>
      <c r="J7" s="36"/>
    </row>
    <row r="8" spans="5:10" ht="27" customHeight="1">
      <c r="E8" s="36"/>
      <c r="F8" s="36"/>
      <c r="G8" s="36"/>
      <c r="H8" s="36"/>
      <c r="I8" s="36"/>
      <c r="J8" s="36"/>
    </row>
    <row r="9" spans="5:10" ht="22.5" customHeight="1">
      <c r="E9" s="36"/>
      <c r="F9" s="36"/>
      <c r="G9" s="36"/>
      <c r="H9" s="36"/>
      <c r="I9" s="36"/>
      <c r="J9" s="36"/>
    </row>
    <row r="10" spans="5:10" ht="38.25" customHeight="1">
      <c r="E10" s="36"/>
      <c r="F10" s="36"/>
      <c r="G10" s="36"/>
      <c r="H10" s="36"/>
      <c r="I10" s="36"/>
      <c r="J10" s="36"/>
    </row>
    <row r="11" spans="5:10" ht="45.75" customHeight="1">
      <c r="E11" s="36"/>
      <c r="F11" s="36"/>
      <c r="G11" s="36"/>
      <c r="H11" s="36"/>
      <c r="I11" s="36"/>
      <c r="J11" s="36"/>
    </row>
    <row r="12" ht="45.75" customHeight="1"/>
    <row r="13" ht="46.5" customHeight="1"/>
    <row r="14" ht="37.5" customHeight="1"/>
    <row r="15" ht="37.5" customHeight="1"/>
    <row r="16" ht="44.25" customHeight="1"/>
    <row r="17" ht="33" customHeight="1"/>
    <row r="18" spans="2:11" s="73" customFormat="1" ht="12.75">
      <c r="B18" s="205"/>
      <c r="E18" s="191"/>
      <c r="F18" s="192"/>
      <c r="J18" s="191"/>
      <c r="K18" s="206"/>
    </row>
    <row r="19" spans="2:14" s="73" customFormat="1" ht="13.5" customHeight="1">
      <c r="B19" s="194"/>
      <c r="C19" s="193"/>
      <c r="D19" s="195"/>
      <c r="E19" s="193"/>
      <c r="F19" s="196"/>
      <c r="G19" s="193"/>
      <c r="H19" s="195"/>
      <c r="I19" s="193"/>
      <c r="J19" s="196"/>
      <c r="K19" s="193"/>
      <c r="L19" s="195"/>
      <c r="M19" s="193"/>
      <c r="N19" s="196"/>
    </row>
    <row r="20" spans="2:14" s="73" customFormat="1" ht="12.75">
      <c r="B20" s="89"/>
      <c r="C20" s="89"/>
      <c r="D20" s="91"/>
      <c r="E20" s="92"/>
      <c r="F20" s="94"/>
      <c r="G20" s="89"/>
      <c r="H20" s="91"/>
      <c r="I20" s="92"/>
      <c r="J20" s="94"/>
      <c r="K20" s="89"/>
      <c r="L20" s="91"/>
      <c r="M20" s="92"/>
      <c r="N20" s="94"/>
    </row>
    <row r="21" spans="1:14" s="73" customFormat="1" ht="12.75">
      <c r="A21" s="197"/>
      <c r="B21" s="89"/>
      <c r="C21" s="89"/>
      <c r="D21" s="91"/>
      <c r="E21" s="92"/>
      <c r="F21" s="94"/>
      <c r="G21" s="89"/>
      <c r="H21" s="91"/>
      <c r="I21" s="92"/>
      <c r="J21" s="94"/>
      <c r="K21" s="89"/>
      <c r="L21" s="91"/>
      <c r="M21" s="92"/>
      <c r="N21" s="94"/>
    </row>
    <row r="22" spans="1:14" s="73" customFormat="1" ht="12.75">
      <c r="A22" s="197"/>
      <c r="B22" s="89"/>
      <c r="C22" s="89"/>
      <c r="D22" s="91"/>
      <c r="E22" s="92"/>
      <c r="F22" s="94"/>
      <c r="G22" s="89"/>
      <c r="H22" s="91"/>
      <c r="I22" s="92"/>
      <c r="J22" s="94"/>
      <c r="K22" s="89"/>
      <c r="L22" s="91"/>
      <c r="M22" s="92"/>
      <c r="N22" s="94"/>
    </row>
    <row r="23" spans="1:14" s="73" customFormat="1" ht="12.75">
      <c r="A23" s="197"/>
      <c r="B23" s="89"/>
      <c r="C23" s="89"/>
      <c r="D23" s="91"/>
      <c r="E23" s="92"/>
      <c r="F23" s="94"/>
      <c r="G23" s="89"/>
      <c r="H23" s="91"/>
      <c r="I23" s="92"/>
      <c r="J23" s="94"/>
      <c r="K23" s="89"/>
      <c r="L23" s="91"/>
      <c r="M23" s="92"/>
      <c r="N23" s="94"/>
    </row>
    <row r="24" spans="1:14" s="73" customFormat="1" ht="12.75">
      <c r="A24" s="197"/>
      <c r="B24" s="89"/>
      <c r="C24" s="89"/>
      <c r="D24" s="91"/>
      <c r="E24" s="92"/>
      <c r="F24" s="94"/>
      <c r="G24" s="89"/>
      <c r="H24" s="91"/>
      <c r="I24" s="92"/>
      <c r="J24" s="94"/>
      <c r="K24" s="89"/>
      <c r="L24" s="91"/>
      <c r="M24" s="92"/>
      <c r="N24" s="94"/>
    </row>
    <row r="25" spans="1:14" s="199" customFormat="1" ht="12.75">
      <c r="A25" s="198"/>
      <c r="B25" s="95"/>
      <c r="C25" s="95"/>
      <c r="D25" s="96"/>
      <c r="E25" s="97"/>
      <c r="F25" s="98"/>
      <c r="G25" s="95"/>
      <c r="H25" s="96"/>
      <c r="I25" s="97"/>
      <c r="J25" s="98"/>
      <c r="K25" s="95"/>
      <c r="L25" s="96"/>
      <c r="M25" s="97"/>
      <c r="N25" s="98"/>
    </row>
    <row r="26" spans="1:14" s="73" customFormat="1" ht="12.75">
      <c r="A26" s="197"/>
      <c r="B26" s="89"/>
      <c r="C26" s="89"/>
      <c r="D26" s="91"/>
      <c r="E26" s="92"/>
      <c r="F26" s="94"/>
      <c r="G26" s="89"/>
      <c r="H26" s="91"/>
      <c r="I26" s="92"/>
      <c r="J26" s="94"/>
      <c r="K26" s="89"/>
      <c r="L26" s="91"/>
      <c r="M26" s="92"/>
      <c r="N26" s="94"/>
    </row>
    <row r="27" spans="1:14" s="199" customFormat="1" ht="24.75" customHeight="1">
      <c r="A27" s="200"/>
      <c r="B27" s="95"/>
      <c r="C27" s="95"/>
      <c r="D27" s="96"/>
      <c r="E27" s="97"/>
      <c r="F27" s="98"/>
      <c r="G27" s="95"/>
      <c r="H27" s="96"/>
      <c r="I27" s="97"/>
      <c r="J27" s="98"/>
      <c r="K27" s="95"/>
      <c r="L27" s="96"/>
      <c r="M27" s="97"/>
      <c r="N27" s="98"/>
    </row>
    <row r="28" spans="1:14" s="73" customFormat="1" ht="12.75">
      <c r="A28" s="197"/>
      <c r="B28" s="89"/>
      <c r="C28" s="89"/>
      <c r="D28" s="91"/>
      <c r="E28" s="92"/>
      <c r="F28" s="94"/>
      <c r="G28" s="89"/>
      <c r="H28" s="91"/>
      <c r="I28" s="92"/>
      <c r="J28" s="94"/>
      <c r="K28" s="89"/>
      <c r="L28" s="91"/>
      <c r="M28" s="92"/>
      <c r="N28" s="94"/>
    </row>
    <row r="29" spans="1:12" s="73" customFormat="1" ht="15" customHeight="1">
      <c r="A29" s="201"/>
      <c r="B29" s="202"/>
      <c r="D29" s="202"/>
      <c r="E29" s="191"/>
      <c r="F29" s="192"/>
      <c r="G29" s="203"/>
      <c r="H29" s="203"/>
      <c r="I29" s="203"/>
      <c r="J29" s="191"/>
      <c r="L29" s="204"/>
    </row>
    <row r="30" s="73" customFormat="1" ht="12.75">
      <c r="M30" s="191"/>
    </row>
    <row r="31" s="73" customFormat="1" ht="12.75">
      <c r="M31" s="191"/>
    </row>
    <row r="32" s="73" customFormat="1" ht="12.75">
      <c r="M32" s="191"/>
    </row>
    <row r="33" s="73" customFormat="1" ht="12.75">
      <c r="M33" s="191"/>
    </row>
  </sheetData>
  <sheetProtection/>
  <printOptions/>
  <pageMargins left="0.23" right="0.16" top="0.25" bottom="0.31" header="0.28" footer="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6:M61"/>
  <sheetViews>
    <sheetView tabSelected="1" zoomScalePageLayoutView="0" workbookViewId="0" topLeftCell="A1">
      <selection activeCell="A7" sqref="A7"/>
    </sheetView>
  </sheetViews>
  <sheetFormatPr defaultColWidth="11.421875" defaultRowHeight="12.75"/>
  <cols>
    <col min="1" max="1" width="18.28125" style="0" customWidth="1"/>
    <col min="2" max="2" width="16.57421875" style="5" customWidth="1"/>
    <col min="3" max="3" width="10.421875" style="0" customWidth="1"/>
    <col min="4" max="4" width="6.7109375" style="5" customWidth="1"/>
    <col min="5" max="5" width="4.7109375" style="37" customWidth="1"/>
    <col min="6" max="6" width="10.57421875" style="0" customWidth="1"/>
    <col min="7" max="7" width="6.7109375" style="0" customWidth="1"/>
    <col min="8" max="8" width="4.7109375" style="5" customWidth="1"/>
    <col min="9" max="9" width="10.28125" style="0" customWidth="1"/>
    <col min="10" max="10" width="6.7109375" style="0" customWidth="1"/>
    <col min="11" max="11" width="4.7109375" style="0" customWidth="1"/>
  </cols>
  <sheetData>
    <row r="1" ht="61.5" customHeight="1"/>
    <row r="2" ht="71.25" customHeight="1"/>
    <row r="3" ht="71.25" customHeight="1"/>
    <row r="4" ht="71.25" customHeight="1"/>
    <row r="5" ht="55.5" customHeight="1"/>
    <row r="6" ht="16.5" customHeight="1">
      <c r="A6" s="126" t="s">
        <v>143</v>
      </c>
    </row>
    <row r="7" ht="16.5" customHeight="1">
      <c r="A7" t="s">
        <v>112</v>
      </c>
    </row>
    <row r="8" ht="16.5" customHeight="1"/>
    <row r="9" spans="1:11" ht="14.25" customHeight="1">
      <c r="A9" s="53" t="s">
        <v>118</v>
      </c>
      <c r="B9" s="53" t="s">
        <v>117</v>
      </c>
      <c r="C9" s="53"/>
      <c r="D9" s="53"/>
      <c r="E9" s="54"/>
      <c r="F9" s="53"/>
      <c r="G9" s="53"/>
      <c r="H9" s="53"/>
      <c r="I9" s="53"/>
      <c r="J9" s="53"/>
      <c r="K9" s="53"/>
    </row>
    <row r="10" spans="1:11" ht="14.25" customHeight="1">
      <c r="A10" s="51" t="s">
        <v>119</v>
      </c>
      <c r="B10" s="51" t="s">
        <v>19</v>
      </c>
      <c r="C10" s="51"/>
      <c r="D10" s="51"/>
      <c r="E10" s="52"/>
      <c r="F10" s="51"/>
      <c r="G10" s="51"/>
      <c r="H10" s="51"/>
      <c r="I10" s="51"/>
      <c r="J10" s="51"/>
      <c r="K10" s="51"/>
    </row>
    <row r="11" spans="1:11" ht="14.25" customHeight="1">
      <c r="A11" s="282" t="s">
        <v>120</v>
      </c>
      <c r="B11" s="282" t="s">
        <v>17</v>
      </c>
      <c r="C11" s="282"/>
      <c r="D11" s="282"/>
      <c r="E11" s="283"/>
      <c r="F11" s="282"/>
      <c r="G11" s="282"/>
      <c r="H11" s="282"/>
      <c r="I11" s="282"/>
      <c r="J11" s="282"/>
      <c r="K11" s="282"/>
    </row>
    <row r="12" spans="1:11" ht="14.25" customHeight="1">
      <c r="A12" s="312" t="s">
        <v>111</v>
      </c>
      <c r="B12" s="312" t="s">
        <v>110</v>
      </c>
      <c r="C12" s="312"/>
      <c r="D12" s="312"/>
      <c r="E12" s="313"/>
      <c r="F12" s="312"/>
      <c r="G12" s="312"/>
      <c r="H12" s="312"/>
      <c r="I12" s="312"/>
      <c r="J12" s="312"/>
      <c r="K12" s="312"/>
    </row>
    <row r="13" ht="15" customHeight="1"/>
    <row r="14" spans="1:2" ht="16.5" customHeight="1">
      <c r="A14" s="34" t="s">
        <v>10</v>
      </c>
      <c r="B14" s="43"/>
    </row>
    <row r="15" spans="1:11" ht="41.25" customHeight="1">
      <c r="A15" s="56" t="s">
        <v>25</v>
      </c>
      <c r="B15" s="60" t="s">
        <v>22</v>
      </c>
      <c r="C15" s="61" t="s">
        <v>12</v>
      </c>
      <c r="D15" s="57" t="s">
        <v>20</v>
      </c>
      <c r="E15" s="58" t="s">
        <v>15</v>
      </c>
      <c r="F15" s="56" t="s">
        <v>24</v>
      </c>
      <c r="G15" s="57" t="s">
        <v>20</v>
      </c>
      <c r="H15" s="58" t="s">
        <v>15</v>
      </c>
      <c r="I15" s="56" t="s">
        <v>23</v>
      </c>
      <c r="J15" s="57" t="s">
        <v>20</v>
      </c>
      <c r="K15" s="58" t="s">
        <v>15</v>
      </c>
    </row>
    <row r="16" spans="1:11" ht="12.75">
      <c r="A16" s="160" t="str">
        <f>A9</f>
        <v>Beamter A13 (nach Abzug 210€ PKV)</v>
      </c>
      <c r="B16" s="161">
        <f>'A13 - Modell'!G47</f>
        <v>39477.77175000001</v>
      </c>
      <c r="C16" s="162">
        <f>B16-B$16</f>
        <v>0</v>
      </c>
      <c r="D16" s="163">
        <f>B16/B$16</f>
        <v>1</v>
      </c>
      <c r="E16" s="164">
        <f>C16*40/B16</f>
        <v>0</v>
      </c>
      <c r="F16" s="165">
        <f>B16-B$18</f>
        <v>3650.941749999998</v>
      </c>
      <c r="G16" s="163">
        <f>B16/B$18</f>
        <v>1.101905241127948</v>
      </c>
      <c r="H16" s="164">
        <f>E16-E$18</f>
        <v>4.076209645117916</v>
      </c>
      <c r="I16" s="165">
        <f>B16-B$17</f>
        <v>4948.455250000006</v>
      </c>
      <c r="J16" s="163">
        <f>B16/B$17</f>
        <v>1.1433117058659417</v>
      </c>
      <c r="K16" s="164">
        <f>E16-E$17</f>
        <v>5.7324682346376665</v>
      </c>
    </row>
    <row r="17" spans="1:13" ht="12.75">
      <c r="A17" s="166" t="str">
        <f>A10</f>
        <v>E13 Tarif (Anspruch heute)</v>
      </c>
      <c r="B17" s="167">
        <f>'E13 - Modell'!K47</f>
        <v>34529.3165</v>
      </c>
      <c r="C17" s="168">
        <f>B17-B$16</f>
        <v>-4948.455250000006</v>
      </c>
      <c r="D17" s="169">
        <f>B17/B$16</f>
        <v>0.8746521135656546</v>
      </c>
      <c r="E17" s="170">
        <f>C17*40/B17</f>
        <v>-5.7324682346376665</v>
      </c>
      <c r="F17" s="171">
        <f>B17-B$18</f>
        <v>-1297.5135000000082</v>
      </c>
      <c r="G17" s="169">
        <f>B17/B$18</f>
        <v>0.963783748101632</v>
      </c>
      <c r="H17" s="170">
        <f>E17-E$18</f>
        <v>-1.6562585895197506</v>
      </c>
      <c r="I17" s="171">
        <f>B17-B$17</f>
        <v>0</v>
      </c>
      <c r="J17" s="169">
        <f>B17/B$17</f>
        <v>1</v>
      </c>
      <c r="K17" s="170">
        <f>E17-E$17</f>
        <v>0</v>
      </c>
      <c r="M17" s="356"/>
    </row>
    <row r="18" spans="1:13" ht="12.75">
      <c r="A18" s="274" t="str">
        <f>A11</f>
        <v>E13 Stufe 5 (heute gezahlt)</v>
      </c>
      <c r="B18" s="275">
        <f>'E13 Stufe 5 - Modell'!K47</f>
        <v>35826.83000000001</v>
      </c>
      <c r="C18" s="276">
        <f>B18-B$16</f>
        <v>-3650.941749999998</v>
      </c>
      <c r="D18" s="277">
        <f>B18/B$16</f>
        <v>0.9075190521612964</v>
      </c>
      <c r="E18" s="278">
        <f>C18*40/B18</f>
        <v>-4.076209645117916</v>
      </c>
      <c r="F18" s="279">
        <f>B18-B$18</f>
        <v>0</v>
      </c>
      <c r="G18" s="277">
        <f>B18/B$18</f>
        <v>1</v>
      </c>
      <c r="H18" s="278">
        <f>E18-E$18</f>
        <v>0</v>
      </c>
      <c r="I18" s="279">
        <f>B18-B$17</f>
        <v>1297.5135000000082</v>
      </c>
      <c r="J18" s="277">
        <f>B18/B$17</f>
        <v>1.0375771556323743</v>
      </c>
      <c r="K18" s="278">
        <f>E18-E$17</f>
        <v>1.6562585895197506</v>
      </c>
      <c r="M18" s="357"/>
    </row>
    <row r="19" spans="1:11" ht="12.75">
      <c r="A19" s="314" t="str">
        <f>A12</f>
        <v>E13 Zul.gem.TV-L§16(5)</v>
      </c>
      <c r="B19" s="315">
        <f>'E13 TV-L Zulagen - Modell'!K47</f>
        <v>39228.51799999998</v>
      </c>
      <c r="C19" s="316">
        <f>B19-B$16</f>
        <v>-249.25375000002532</v>
      </c>
      <c r="D19" s="317">
        <f>B19/B$16</f>
        <v>0.9936862254643329</v>
      </c>
      <c r="E19" s="318">
        <f>C19*40/B19</f>
        <v>-0.254155662979698</v>
      </c>
      <c r="F19" s="319">
        <f>B19-B$18</f>
        <v>3401.687999999973</v>
      </c>
      <c r="G19" s="317">
        <f>B19/B$18</f>
        <v>1.0949480598757961</v>
      </c>
      <c r="H19" s="318">
        <f>E19-E$18</f>
        <v>3.822053982138218</v>
      </c>
      <c r="I19" s="319">
        <f>B19-B$17</f>
        <v>4699.201499999981</v>
      </c>
      <c r="J19" s="317">
        <f>B19/B$17</f>
        <v>1.1360930935311153</v>
      </c>
      <c r="K19" s="318">
        <f>E19-E$17</f>
        <v>5.478312571657969</v>
      </c>
    </row>
    <row r="20" spans="2:7" ht="12.75">
      <c r="B20" s="55" t="s">
        <v>21</v>
      </c>
      <c r="F20" s="55"/>
      <c r="G20" s="55"/>
    </row>
    <row r="21" spans="1:8" ht="12.75">
      <c r="A21" s="40"/>
      <c r="B21" s="44"/>
      <c r="C21" s="39"/>
      <c r="D21" s="45"/>
      <c r="E21" s="38"/>
      <c r="F21" s="9"/>
      <c r="G21" s="9"/>
      <c r="H21" s="8"/>
    </row>
    <row r="22" spans="1:2" ht="13.5" customHeight="1">
      <c r="A22" s="40"/>
      <c r="B22" s="44"/>
    </row>
    <row r="23" spans="3:4" ht="12.75">
      <c r="C23" s="36"/>
      <c r="D23" s="46"/>
    </row>
    <row r="24" spans="3:4" ht="12.75">
      <c r="C24" s="36"/>
      <c r="D24" s="46"/>
    </row>
    <row r="25" spans="3:4" ht="12.75">
      <c r="C25" s="36"/>
      <c r="D25" s="46"/>
    </row>
    <row r="26" spans="3:4" ht="12.75">
      <c r="C26" s="36"/>
      <c r="D26" s="46"/>
    </row>
    <row r="27" spans="3:4" ht="12.75">
      <c r="C27" s="36"/>
      <c r="D27" s="46"/>
    </row>
    <row r="28" spans="3:4" ht="12.75">
      <c r="C28" s="36"/>
      <c r="D28" s="46"/>
    </row>
    <row r="29" spans="3:4" ht="12.75">
      <c r="C29" s="36"/>
      <c r="D29" s="46"/>
    </row>
    <row r="30" spans="3:4" ht="12.75">
      <c r="C30" s="36"/>
      <c r="D30" s="46"/>
    </row>
    <row r="31" spans="3:4" ht="12.75">
      <c r="C31" s="36"/>
      <c r="D31" s="46"/>
    </row>
    <row r="32" spans="3:4" ht="12.75">
      <c r="C32" s="36"/>
      <c r="D32" s="46"/>
    </row>
    <row r="33" spans="3:4" ht="12.75">
      <c r="C33" s="36"/>
      <c r="D33" s="46"/>
    </row>
    <row r="34" spans="3:4" ht="12.75">
      <c r="C34" s="36"/>
      <c r="D34" s="46"/>
    </row>
    <row r="60" s="41" customFormat="1" ht="12.75">
      <c r="E60" s="50"/>
    </row>
    <row r="61" s="41" customFormat="1" ht="12.75">
      <c r="E61" s="50"/>
    </row>
  </sheetData>
  <sheetProtection/>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44"/>
  <sheetViews>
    <sheetView zoomScalePageLayoutView="0" workbookViewId="0" topLeftCell="A1">
      <selection activeCell="J3" sqref="J3"/>
    </sheetView>
  </sheetViews>
  <sheetFormatPr defaultColWidth="11.421875" defaultRowHeight="12.75"/>
  <cols>
    <col min="5" max="5" width="13.28125" style="0" customWidth="1"/>
    <col min="6" max="6" width="14.8515625" style="0" customWidth="1"/>
    <col min="7" max="7" width="5.140625" style="0" customWidth="1"/>
    <col min="8" max="8" width="15.421875" style="0" customWidth="1"/>
  </cols>
  <sheetData>
    <row r="1" ht="171.75" customHeight="1"/>
    <row r="2" ht="144.75" customHeight="1"/>
    <row r="3" ht="153.75" customHeight="1"/>
    <row r="4" spans="1:8" ht="12.75">
      <c r="A4" s="273" t="s">
        <v>0</v>
      </c>
      <c r="B4" s="272" t="s">
        <v>18</v>
      </c>
      <c r="C4" s="130" t="s">
        <v>48</v>
      </c>
      <c r="D4" s="128" t="s">
        <v>16</v>
      </c>
      <c r="E4" s="320" t="s">
        <v>93</v>
      </c>
      <c r="H4" s="355"/>
    </row>
    <row r="5" spans="1:6" ht="12.75">
      <c r="A5">
        <v>1</v>
      </c>
      <c r="B5" s="36">
        <f>'A13 - Modell'!G7</f>
        <v>33715.46</v>
      </c>
      <c r="C5" s="36">
        <f>'E13 - Modell'!K7</f>
        <v>26732.95</v>
      </c>
      <c r="D5" s="36">
        <f>'E13 Stufe 5 - Modell'!K7</f>
        <v>35826.83</v>
      </c>
      <c r="E5" s="36">
        <f>'E13 TV-L Zulagen - Modell'!K7</f>
        <v>30294.75</v>
      </c>
      <c r="F5" s="36"/>
    </row>
    <row r="6" spans="1:6" ht="12.75">
      <c r="A6">
        <v>2</v>
      </c>
      <c r="B6" s="36">
        <f>'A13 - Modell'!G8</f>
        <v>33715.46</v>
      </c>
      <c r="C6" s="36">
        <f>'E13 - Modell'!K8</f>
        <v>28985.7</v>
      </c>
      <c r="D6" s="36">
        <f>'E13 Stufe 5 - Modell'!K8</f>
        <v>35826.83</v>
      </c>
      <c r="E6" s="36">
        <f>'E13 TV-L Zulagen - Modell'!K8</f>
        <v>30294.75</v>
      </c>
      <c r="F6" s="36"/>
    </row>
    <row r="7" spans="1:6" ht="12.75">
      <c r="A7">
        <v>3</v>
      </c>
      <c r="B7" s="36">
        <f>'A13 - Modell'!G9</f>
        <v>35104.24</v>
      </c>
      <c r="C7" s="36">
        <f>'E13 - Modell'!K9</f>
        <v>28985.7</v>
      </c>
      <c r="D7" s="36">
        <f>'E13 Stufe 5 - Modell'!K9</f>
        <v>35826.83</v>
      </c>
      <c r="E7" s="36">
        <f>'E13 TV-L Zulagen - Modell'!K9</f>
        <v>32694.79</v>
      </c>
      <c r="F7" s="36"/>
    </row>
    <row r="8" spans="1:6" ht="12.75">
      <c r="A8">
        <v>4</v>
      </c>
      <c r="B8" s="36">
        <f>'A13 - Modell'!G10</f>
        <v>35104.24</v>
      </c>
      <c r="C8" s="36">
        <f>'E13 - Modell'!K10</f>
        <v>30294.75</v>
      </c>
      <c r="D8" s="36">
        <f>'E13 Stufe 5 - Modell'!K10</f>
        <v>35826.83</v>
      </c>
      <c r="E8" s="36">
        <f>'E13 TV-L Zulagen - Modell'!K10</f>
        <v>32694.79</v>
      </c>
      <c r="F8" s="36"/>
    </row>
    <row r="9" spans="1:6" ht="12.75">
      <c r="A9">
        <v>5</v>
      </c>
      <c r="B9" s="36">
        <f>'A13 - Modell'!G11</f>
        <v>35104.24</v>
      </c>
      <c r="C9" s="36">
        <f>'E13 - Modell'!K11</f>
        <v>30294.75</v>
      </c>
      <c r="D9" s="36">
        <f>'E13 Stufe 5 - Modell'!K11</f>
        <v>35826.83</v>
      </c>
      <c r="E9" s="36">
        <f>'E13 TV-L Zulagen - Modell'!K11</f>
        <v>35826.83</v>
      </c>
      <c r="F9" s="36"/>
    </row>
    <row r="10" spans="1:6" ht="12.75">
      <c r="A10">
        <v>6</v>
      </c>
      <c r="B10" s="36">
        <f>'A13 - Modell'!G12</f>
        <v>36466.4</v>
      </c>
      <c r="C10" s="36">
        <f>'E13 - Modell'!K12</f>
        <v>30294.75</v>
      </c>
      <c r="D10" s="36">
        <f>'E13 Stufe 5 - Modell'!K12</f>
        <v>35826.83</v>
      </c>
      <c r="E10" s="36">
        <f>'E13 TV-L Zulagen - Modell'!K12</f>
        <v>35826.83</v>
      </c>
      <c r="F10" s="36"/>
    </row>
    <row r="11" spans="1:6" ht="12.75">
      <c r="A11">
        <v>7</v>
      </c>
      <c r="B11" s="36">
        <f>'A13 - Modell'!G13</f>
        <v>36466.4</v>
      </c>
      <c r="C11" s="36">
        <f>'E13 - Modell'!K13</f>
        <v>32694.79</v>
      </c>
      <c r="D11" s="36">
        <f>'E13 Stufe 5 - Modell'!K13</f>
        <v>35826.83</v>
      </c>
      <c r="E11" s="36">
        <f>'E13 TV-L Zulagen - Modell'!K13</f>
        <v>40338.47</v>
      </c>
      <c r="F11" s="36"/>
    </row>
    <row r="12" spans="1:6" ht="12.75">
      <c r="A12">
        <v>8</v>
      </c>
      <c r="B12" s="36">
        <f>'A13 - Modell'!G14</f>
        <v>36466.4</v>
      </c>
      <c r="C12" s="36">
        <f>'E13 - Modell'!K14</f>
        <v>32694.79</v>
      </c>
      <c r="D12" s="36">
        <f>'E13 Stufe 5 - Modell'!K14</f>
        <v>35826.83</v>
      </c>
      <c r="E12" s="36">
        <f>'E13 TV-L Zulagen - Modell'!K14</f>
        <v>40338.47</v>
      </c>
      <c r="F12" s="36"/>
    </row>
    <row r="13" spans="1:6" ht="12.75">
      <c r="A13">
        <v>9</v>
      </c>
      <c r="B13" s="36">
        <f>'A13 - Modell'!G15</f>
        <v>37812.25</v>
      </c>
      <c r="C13" s="36">
        <f>'E13 - Modell'!K15</f>
        <v>32694.79</v>
      </c>
      <c r="D13" s="36">
        <f>'E13 Stufe 5 - Modell'!K15</f>
        <v>35826.83</v>
      </c>
      <c r="E13" s="36">
        <f>'E13 TV-L Zulagen - Modell'!K15</f>
        <v>40338.47</v>
      </c>
      <c r="F13" s="36"/>
    </row>
    <row r="14" spans="1:6" ht="12.75">
      <c r="A14">
        <v>10</v>
      </c>
      <c r="B14" s="36">
        <f>'A13 - Modell'!G16</f>
        <v>37812.25</v>
      </c>
      <c r="C14" s="36">
        <f>'E13 - Modell'!K16</f>
        <v>32694.79</v>
      </c>
      <c r="D14" s="36">
        <f>'E13 Stufe 5 - Modell'!K16</f>
        <v>35826.83</v>
      </c>
      <c r="E14" s="36">
        <f>'E13 TV-L Zulagen - Modell'!K16</f>
        <v>40338.47</v>
      </c>
      <c r="F14" s="36"/>
    </row>
    <row r="15" spans="1:6" ht="12.75">
      <c r="A15">
        <v>11</v>
      </c>
      <c r="B15" s="36">
        <f>'A13 - Modell'!G17</f>
        <v>37812.25</v>
      </c>
      <c r="C15" s="36">
        <f>'E13 - Modell'!K17</f>
        <v>35826.83</v>
      </c>
      <c r="D15" s="36">
        <f>'E13 Stufe 5 - Modell'!K17</f>
        <v>35826.83</v>
      </c>
      <c r="E15" s="36">
        <f>'E13 TV-L Zulagen - Modell'!K17</f>
        <v>40338.47</v>
      </c>
      <c r="F15" s="36"/>
    </row>
    <row r="16" spans="1:6" ht="12.75">
      <c r="A16">
        <v>12</v>
      </c>
      <c r="B16" s="36">
        <f>'A13 - Modell'!G18</f>
        <v>39052.08</v>
      </c>
      <c r="C16" s="36">
        <f>'E13 - Modell'!K18</f>
        <v>35826.83</v>
      </c>
      <c r="D16" s="36">
        <f>'E13 Stufe 5 - Modell'!K18</f>
        <v>35826.83</v>
      </c>
      <c r="E16" s="36">
        <f>'E13 TV-L Zulagen - Modell'!K18</f>
        <v>40338.47</v>
      </c>
      <c r="F16" s="36"/>
    </row>
    <row r="17" spans="1:6" ht="12.75">
      <c r="A17">
        <v>13</v>
      </c>
      <c r="B17" s="36">
        <f>'A13 - Modell'!G19</f>
        <v>39052.08</v>
      </c>
      <c r="C17" s="36">
        <f>'E13 - Modell'!K19</f>
        <v>35826.83</v>
      </c>
      <c r="D17" s="36">
        <f>'E13 Stufe 5 - Modell'!K19</f>
        <v>35826.83</v>
      </c>
      <c r="E17" s="36">
        <f>'E13 TV-L Zulagen - Modell'!K19</f>
        <v>40338.47</v>
      </c>
      <c r="F17" s="36"/>
    </row>
    <row r="18" spans="1:6" ht="12.75">
      <c r="A18">
        <v>14</v>
      </c>
      <c r="B18" s="36">
        <f>'A13 - Modell'!G20</f>
        <v>39052.08</v>
      </c>
      <c r="C18" s="36">
        <f>'E13 - Modell'!K20</f>
        <v>35826.83</v>
      </c>
      <c r="D18" s="36">
        <f>'E13 Stufe 5 - Modell'!K20</f>
        <v>35826.83</v>
      </c>
      <c r="E18" s="36">
        <f>'E13 TV-L Zulagen - Modell'!K20</f>
        <v>40338.47</v>
      </c>
      <c r="F18" s="36"/>
    </row>
    <row r="19" spans="1:6" ht="12.75">
      <c r="A19">
        <v>15</v>
      </c>
      <c r="B19" s="36">
        <f>'A13 - Modell'!G21</f>
        <v>39052.08</v>
      </c>
      <c r="C19" s="36">
        <f>'E13 - Modell'!K21</f>
        <v>35826.83</v>
      </c>
      <c r="D19" s="36">
        <f>'E13 Stufe 5 - Modell'!K21</f>
        <v>35826.83</v>
      </c>
      <c r="E19" s="36">
        <f>'E13 TV-L Zulagen - Modell'!K21</f>
        <v>40338.47</v>
      </c>
      <c r="F19" s="36"/>
    </row>
    <row r="20" spans="1:6" ht="12.75">
      <c r="A20">
        <v>16</v>
      </c>
      <c r="B20" s="36">
        <f>'A13 - Modell'!G22</f>
        <v>39631.28</v>
      </c>
      <c r="C20" s="36">
        <f>'E13 - Modell'!K22</f>
        <v>35826.83</v>
      </c>
      <c r="D20" s="36">
        <f>'E13 Stufe 5 - Modell'!K22</f>
        <v>35826.83</v>
      </c>
      <c r="E20" s="36">
        <f>'E13 TV-L Zulagen - Modell'!K22</f>
        <v>40338.47</v>
      </c>
      <c r="F20" s="36"/>
    </row>
    <row r="21" spans="1:6" ht="12.75">
      <c r="A21">
        <v>17</v>
      </c>
      <c r="B21" s="36">
        <f>'A13 - Modell'!G23</f>
        <v>39631.28</v>
      </c>
      <c r="C21" s="36">
        <f>'E13 - Modell'!K23</f>
        <v>35826.83</v>
      </c>
      <c r="D21" s="36">
        <f>'E13 Stufe 5 - Modell'!K23</f>
        <v>35826.83</v>
      </c>
      <c r="E21" s="36">
        <f>'E13 TV-L Zulagen - Modell'!K23</f>
        <v>40338.47</v>
      </c>
      <c r="F21" s="36"/>
    </row>
    <row r="22" spans="1:6" ht="12.75">
      <c r="A22">
        <v>18</v>
      </c>
      <c r="B22" s="36">
        <f>'A13 - Modell'!G24</f>
        <v>39631.28</v>
      </c>
      <c r="C22" s="36">
        <f>'E13 - Modell'!K24</f>
        <v>35826.83</v>
      </c>
      <c r="D22" s="36">
        <f>'E13 Stufe 5 - Modell'!K24</f>
        <v>35826.83</v>
      </c>
      <c r="E22" s="36">
        <f>'E13 TV-L Zulagen - Modell'!K24</f>
        <v>40338.47</v>
      </c>
      <c r="F22" s="36"/>
    </row>
    <row r="23" spans="1:6" ht="12.75">
      <c r="A23">
        <v>19</v>
      </c>
      <c r="B23" s="36">
        <f>'A13 - Modell'!G25</f>
        <v>39631.28</v>
      </c>
      <c r="C23" s="36">
        <f>'E13 - Modell'!K25</f>
        <v>35826.83</v>
      </c>
      <c r="D23" s="36">
        <f>'E13 Stufe 5 - Modell'!K25</f>
        <v>35826.83</v>
      </c>
      <c r="E23" s="36">
        <f>'E13 TV-L Zulagen - Modell'!K25</f>
        <v>40338.47</v>
      </c>
      <c r="F23" s="36"/>
    </row>
    <row r="24" spans="1:6" ht="12.75">
      <c r="A24">
        <v>20</v>
      </c>
      <c r="B24" s="36">
        <f>'A13 - Modell'!G26</f>
        <v>40852</v>
      </c>
      <c r="C24" s="36">
        <f>'E13 - Modell'!K26</f>
        <v>35826.83</v>
      </c>
      <c r="D24" s="36">
        <f>'E13 Stufe 5 - Modell'!K26</f>
        <v>35826.83</v>
      </c>
      <c r="E24" s="36">
        <f>'E13 TV-L Zulagen - Modell'!K26</f>
        <v>40338.47</v>
      </c>
      <c r="F24" s="36"/>
    </row>
    <row r="25" spans="1:6" ht="12.75">
      <c r="A25">
        <v>21</v>
      </c>
      <c r="B25" s="36">
        <f>'A13 - Modell'!G27</f>
        <v>40852</v>
      </c>
      <c r="C25" s="36">
        <f>'E13 - Modell'!K27</f>
        <v>35826.83</v>
      </c>
      <c r="D25" s="36">
        <f>'E13 Stufe 5 - Modell'!K27</f>
        <v>35826.83</v>
      </c>
      <c r="E25" s="36">
        <f>'E13 TV-L Zulagen - Modell'!K27</f>
        <v>40338.47</v>
      </c>
      <c r="F25" s="36"/>
    </row>
    <row r="26" spans="1:6" ht="12.75">
      <c r="A26">
        <v>22</v>
      </c>
      <c r="B26" s="36">
        <f>'A13 - Modell'!G28</f>
        <v>40852</v>
      </c>
      <c r="C26" s="36">
        <f>'E13 - Modell'!K28</f>
        <v>35826.83</v>
      </c>
      <c r="D26" s="36">
        <f>'E13 Stufe 5 - Modell'!K28</f>
        <v>35826.83</v>
      </c>
      <c r="E26" s="36">
        <f>'E13 TV-L Zulagen - Modell'!K28</f>
        <v>40338.47</v>
      </c>
      <c r="F26" s="36"/>
    </row>
    <row r="27" spans="1:6" ht="12.75">
      <c r="A27">
        <v>23</v>
      </c>
      <c r="B27" s="36">
        <f>'A13 - Modell'!G29</f>
        <v>40852</v>
      </c>
      <c r="C27" s="36">
        <f>'E13 - Modell'!K29</f>
        <v>35826.83</v>
      </c>
      <c r="D27" s="36">
        <f>'E13 Stufe 5 - Modell'!K29</f>
        <v>35826.83</v>
      </c>
      <c r="E27" s="36">
        <f>'E13 TV-L Zulagen - Modell'!K29</f>
        <v>40338.47</v>
      </c>
      <c r="F27" s="36"/>
    </row>
    <row r="28" spans="1:6" ht="12.75">
      <c r="A28">
        <v>24</v>
      </c>
      <c r="B28" s="36">
        <f>'A13 - Modell'!G30</f>
        <v>41493.52</v>
      </c>
      <c r="C28" s="36">
        <f>'E13 - Modell'!K30</f>
        <v>35826.83</v>
      </c>
      <c r="D28" s="36">
        <f>'E13 Stufe 5 - Modell'!K30</f>
        <v>35826.83</v>
      </c>
      <c r="E28" s="36">
        <f>'E13 TV-L Zulagen - Modell'!K30</f>
        <v>40338.47</v>
      </c>
      <c r="F28" s="36"/>
    </row>
    <row r="29" spans="1:6" ht="12.75">
      <c r="A29">
        <v>25</v>
      </c>
      <c r="B29" s="36">
        <f>'A13 - Modell'!G31</f>
        <v>41493.52</v>
      </c>
      <c r="C29" s="36">
        <f>'E13 - Modell'!K31</f>
        <v>35826.83</v>
      </c>
      <c r="D29" s="36">
        <f>'E13 Stufe 5 - Modell'!K31</f>
        <v>35826.83</v>
      </c>
      <c r="E29" s="36">
        <f>'E13 TV-L Zulagen - Modell'!K31</f>
        <v>40338.47</v>
      </c>
      <c r="F29" s="36"/>
    </row>
    <row r="30" spans="1:6" ht="12.75">
      <c r="A30">
        <v>26</v>
      </c>
      <c r="B30" s="36">
        <f>'A13 - Modell'!G32</f>
        <v>41493.52</v>
      </c>
      <c r="C30" s="36">
        <f>'E13 - Modell'!K32</f>
        <v>35826.83</v>
      </c>
      <c r="D30" s="36">
        <f>'E13 Stufe 5 - Modell'!K32</f>
        <v>35826.83</v>
      </c>
      <c r="E30" s="36">
        <f>'E13 TV-L Zulagen - Modell'!K32</f>
        <v>40338.47</v>
      </c>
      <c r="F30" s="36"/>
    </row>
    <row r="31" spans="1:6" ht="12.75">
      <c r="A31">
        <v>27</v>
      </c>
      <c r="B31" s="36">
        <f>'A13 - Modell'!G33</f>
        <v>41493.52</v>
      </c>
      <c r="C31" s="36">
        <f>'E13 - Modell'!K33</f>
        <v>35826.83</v>
      </c>
      <c r="D31" s="36">
        <f>'E13 Stufe 5 - Modell'!K33</f>
        <v>35826.83</v>
      </c>
      <c r="E31" s="36">
        <f>'E13 TV-L Zulagen - Modell'!K33</f>
        <v>40338.47</v>
      </c>
      <c r="F31" s="36"/>
    </row>
    <row r="32" spans="1:6" ht="12.75">
      <c r="A32">
        <v>28</v>
      </c>
      <c r="B32" s="36">
        <f>'A13 - Modell'!G34</f>
        <v>41493.52</v>
      </c>
      <c r="C32" s="36">
        <f>'E13 - Modell'!K34</f>
        <v>35826.83</v>
      </c>
      <c r="D32" s="36">
        <f>'E13 Stufe 5 - Modell'!K34</f>
        <v>35826.83</v>
      </c>
      <c r="E32" s="36">
        <f>'E13 TV-L Zulagen - Modell'!K34</f>
        <v>40338.47</v>
      </c>
      <c r="F32" s="36"/>
    </row>
    <row r="33" spans="1:6" ht="12.75">
      <c r="A33">
        <v>29</v>
      </c>
      <c r="B33" s="36">
        <f>'A13 - Modell'!G35</f>
        <v>41493.52</v>
      </c>
      <c r="C33" s="36">
        <f>'E13 - Modell'!K35</f>
        <v>35826.83</v>
      </c>
      <c r="D33" s="36">
        <f>'E13 Stufe 5 - Modell'!K35</f>
        <v>35826.83</v>
      </c>
      <c r="E33" s="36">
        <f>'E13 TV-L Zulagen - Modell'!K35</f>
        <v>40338.47</v>
      </c>
      <c r="F33" s="36"/>
    </row>
    <row r="34" spans="1:6" ht="12.75">
      <c r="A34">
        <v>30</v>
      </c>
      <c r="B34" s="36">
        <f>'A13 - Modell'!G36</f>
        <v>41493.52</v>
      </c>
      <c r="C34" s="36">
        <f>'E13 - Modell'!K36</f>
        <v>35826.83</v>
      </c>
      <c r="D34" s="36">
        <f>'E13 Stufe 5 - Modell'!K36</f>
        <v>35826.83</v>
      </c>
      <c r="E34" s="36">
        <f>'E13 TV-L Zulagen - Modell'!K36</f>
        <v>40338.47</v>
      </c>
      <c r="F34" s="36"/>
    </row>
    <row r="35" spans="1:6" ht="12.75">
      <c r="A35">
        <v>31</v>
      </c>
      <c r="B35" s="36">
        <f>'A13 - Modell'!G37</f>
        <v>41493.52</v>
      </c>
      <c r="C35" s="36">
        <f>'E13 - Modell'!K37</f>
        <v>35826.83</v>
      </c>
      <c r="D35" s="36">
        <f>'E13 Stufe 5 - Modell'!K37</f>
        <v>35826.83</v>
      </c>
      <c r="E35" s="36">
        <f>'E13 TV-L Zulagen - Modell'!K37</f>
        <v>40338.47</v>
      </c>
      <c r="F35" s="36"/>
    </row>
    <row r="36" spans="1:6" ht="12.75">
      <c r="A36">
        <v>32</v>
      </c>
      <c r="B36" s="36">
        <f>'A13 - Modell'!G38</f>
        <v>41493.52</v>
      </c>
      <c r="C36" s="36">
        <f>'E13 - Modell'!K38</f>
        <v>35826.83</v>
      </c>
      <c r="D36" s="36">
        <f>'E13 Stufe 5 - Modell'!K38</f>
        <v>35826.83</v>
      </c>
      <c r="E36" s="36">
        <f>'E13 TV-L Zulagen - Modell'!K38</f>
        <v>40338.47</v>
      </c>
      <c r="F36" s="36"/>
    </row>
    <row r="37" spans="1:6" ht="12.75">
      <c r="A37">
        <v>33</v>
      </c>
      <c r="B37" s="36">
        <f>'A13 - Modell'!G39</f>
        <v>41493.52</v>
      </c>
      <c r="C37" s="36">
        <f>'E13 - Modell'!K39</f>
        <v>35826.83</v>
      </c>
      <c r="D37" s="36">
        <f>'E13 Stufe 5 - Modell'!K39</f>
        <v>35826.83</v>
      </c>
      <c r="E37" s="36">
        <f>'E13 TV-L Zulagen - Modell'!K39</f>
        <v>40338.47</v>
      </c>
      <c r="F37" s="36"/>
    </row>
    <row r="38" spans="1:6" ht="12.75">
      <c r="A38">
        <v>34</v>
      </c>
      <c r="B38" s="36">
        <f>'A13 - Modell'!G40</f>
        <v>41493.52</v>
      </c>
      <c r="C38" s="36">
        <f>'E13 - Modell'!K40</f>
        <v>35826.83</v>
      </c>
      <c r="D38" s="36">
        <f>'E13 Stufe 5 - Modell'!K40</f>
        <v>35826.83</v>
      </c>
      <c r="E38" s="36">
        <f>'E13 TV-L Zulagen - Modell'!K40</f>
        <v>40338.47</v>
      </c>
      <c r="F38" s="36"/>
    </row>
    <row r="39" spans="1:6" ht="12.75">
      <c r="A39">
        <v>35</v>
      </c>
      <c r="B39" s="36">
        <f>'A13 - Modell'!G41</f>
        <v>41493.52</v>
      </c>
      <c r="C39" s="36">
        <f>'E13 - Modell'!K41</f>
        <v>35826.83</v>
      </c>
      <c r="D39" s="36">
        <f>'E13 Stufe 5 - Modell'!K41</f>
        <v>35826.83</v>
      </c>
      <c r="E39" s="36">
        <f>'E13 TV-L Zulagen - Modell'!K41</f>
        <v>40338.47</v>
      </c>
      <c r="F39" s="36"/>
    </row>
    <row r="40" spans="1:6" ht="12.75">
      <c r="A40">
        <v>36</v>
      </c>
      <c r="B40" s="36">
        <f>'A13 - Modell'!G42</f>
        <v>41493.52</v>
      </c>
      <c r="C40" s="36">
        <f>'E13 - Modell'!K42</f>
        <v>35826.83</v>
      </c>
      <c r="D40" s="36">
        <f>'E13 Stufe 5 - Modell'!K42</f>
        <v>35826.83</v>
      </c>
      <c r="E40" s="36">
        <f>'E13 TV-L Zulagen - Modell'!K42</f>
        <v>40338.47</v>
      </c>
      <c r="F40" s="36"/>
    </row>
    <row r="41" spans="1:6" ht="12.75">
      <c r="A41">
        <v>37</v>
      </c>
      <c r="B41" s="36">
        <f>'A13 - Modell'!G43</f>
        <v>41493.52</v>
      </c>
      <c r="C41" s="36">
        <f>'E13 - Modell'!K43</f>
        <v>35826.83</v>
      </c>
      <c r="D41" s="36">
        <f>'E13 Stufe 5 - Modell'!K43</f>
        <v>35826.83</v>
      </c>
      <c r="E41" s="36">
        <f>'E13 TV-L Zulagen - Modell'!K43</f>
        <v>40338.47</v>
      </c>
      <c r="F41" s="36"/>
    </row>
    <row r="42" spans="1:6" ht="12.75">
      <c r="A42">
        <v>38</v>
      </c>
      <c r="B42" s="36">
        <f>'A13 - Modell'!G44</f>
        <v>41493.52</v>
      </c>
      <c r="C42" s="36">
        <f>'E13 - Modell'!K44</f>
        <v>35826.83</v>
      </c>
      <c r="D42" s="36">
        <f>'E13 Stufe 5 - Modell'!K44</f>
        <v>35826.83</v>
      </c>
      <c r="E42" s="36">
        <f>'E13 TV-L Zulagen - Modell'!K44</f>
        <v>40338.47</v>
      </c>
      <c r="F42" s="36"/>
    </row>
    <row r="43" spans="1:6" ht="12.75">
      <c r="A43">
        <v>39</v>
      </c>
      <c r="B43" s="36">
        <f>'A13 - Modell'!G45</f>
        <v>41493.52</v>
      </c>
      <c r="C43" s="36">
        <f>'E13 - Modell'!K45</f>
        <v>35826.83</v>
      </c>
      <c r="D43" s="36">
        <f>'E13 Stufe 5 - Modell'!K45</f>
        <v>35826.83</v>
      </c>
      <c r="E43" s="36">
        <f>'E13 TV-L Zulagen - Modell'!K45</f>
        <v>40338.47</v>
      </c>
      <c r="F43" s="36"/>
    </row>
    <row r="44" spans="1:6" ht="12.75">
      <c r="A44">
        <v>40</v>
      </c>
      <c r="B44" s="36">
        <f>'A13 - Modell'!G46</f>
        <v>41493.52</v>
      </c>
      <c r="C44" s="36">
        <f>'E13 - Modell'!K46</f>
        <v>35826.83</v>
      </c>
      <c r="D44" s="36">
        <f>'E13 Stufe 5 - Modell'!K46</f>
        <v>35826.83</v>
      </c>
      <c r="E44" s="36">
        <f>'E13 TV-L Zulagen - Modell'!K46</f>
        <v>40338.47</v>
      </c>
      <c r="F44" s="36"/>
    </row>
  </sheetData>
  <sheetProtection/>
  <printOptions/>
  <pageMargins left="0.787401575" right="0.787401575" top="0.59" bottom="0.63" header="0.4921259845" footer="0.4921259845"/>
  <pageSetup fitToHeight="1"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dimension ref="A1:E11"/>
  <sheetViews>
    <sheetView zoomScalePageLayoutView="0" workbookViewId="0" topLeftCell="A1">
      <selection activeCell="A2" sqref="A2"/>
    </sheetView>
  </sheetViews>
  <sheetFormatPr defaultColWidth="11.421875" defaultRowHeight="12.75"/>
  <cols>
    <col min="1" max="1" width="21.7109375" style="0" customWidth="1"/>
    <col min="2" max="2" width="13.140625" style="0" customWidth="1"/>
    <col min="3" max="3" width="14.57421875" style="0" customWidth="1"/>
    <col min="4" max="4" width="26.7109375" style="0" customWidth="1"/>
    <col min="5" max="5" width="14.00390625" style="0" customWidth="1"/>
  </cols>
  <sheetData>
    <row r="1" ht="12.75">
      <c r="A1" s="2" t="s">
        <v>142</v>
      </c>
    </row>
    <row r="3" spans="1:3" ht="12.75">
      <c r="A3" t="s">
        <v>2</v>
      </c>
      <c r="B3" t="s">
        <v>101</v>
      </c>
      <c r="C3" t="s">
        <v>102</v>
      </c>
    </row>
    <row r="4" spans="1:5" ht="12.75">
      <c r="A4" s="126" t="s">
        <v>134</v>
      </c>
      <c r="B4" s="353">
        <v>130.95</v>
      </c>
      <c r="C4" s="353">
        <f>B4*12</f>
        <v>1571.3999999999999</v>
      </c>
      <c r="D4" s="273" t="s">
        <v>115</v>
      </c>
      <c r="E4" s="360">
        <f>C4*40</f>
        <v>62855.99999999999</v>
      </c>
    </row>
    <row r="5" spans="1:5" ht="12.75">
      <c r="A5" s="126" t="s">
        <v>132</v>
      </c>
      <c r="B5" s="353">
        <v>224.01</v>
      </c>
      <c r="C5" s="353">
        <f>B5*12</f>
        <v>2688.12</v>
      </c>
      <c r="D5" s="273" t="s">
        <v>114</v>
      </c>
      <c r="E5" s="360">
        <f>C5*40</f>
        <v>107524.79999999999</v>
      </c>
    </row>
    <row r="6" spans="1:5" ht="13.5" thickBot="1">
      <c r="A6" s="126" t="s">
        <v>133</v>
      </c>
      <c r="B6" s="353">
        <f>B5+B4</f>
        <v>354.96</v>
      </c>
      <c r="C6" s="353">
        <f>B6*12</f>
        <v>4259.5199999999995</v>
      </c>
      <c r="D6" s="372" t="s">
        <v>116</v>
      </c>
      <c r="E6" s="115">
        <f>E4+E5</f>
        <v>170380.8</v>
      </c>
    </row>
    <row r="7" ht="13.5" thickTop="1"/>
    <row r="8" ht="12.75">
      <c r="A8" s="9"/>
    </row>
    <row r="9" spans="1:5" ht="12.75">
      <c r="A9" s="264"/>
      <c r="C9" s="353"/>
      <c r="E9" s="360"/>
    </row>
    <row r="11" ht="12.75">
      <c r="B11" s="354"/>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49"/>
  <sheetViews>
    <sheetView zoomScalePageLayoutView="0" workbookViewId="0" topLeftCell="A13">
      <selection activeCell="J22" sqref="J22"/>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57421875" style="4" customWidth="1"/>
    <col min="12" max="12" width="11.28125" style="26" customWidth="1"/>
    <col min="13" max="13" width="11.8515625" style="26" customWidth="1"/>
    <col min="14" max="14" width="5.57421875" style="6" customWidth="1"/>
    <col min="15" max="15" width="5.7109375" style="5" customWidth="1"/>
    <col min="16" max="17" width="9.421875" style="30" customWidth="1"/>
    <col min="19" max="19" width="4.28125" style="0" customWidth="1"/>
    <col min="20" max="20" width="4.140625" style="0" customWidth="1"/>
    <col min="27" max="27" width="11.8515625" style="0" customWidth="1"/>
    <col min="29" max="29" width="3.57421875" style="0" customWidth="1"/>
    <col min="30" max="30" width="12.140625" style="0" customWidth="1"/>
    <col min="32" max="32" width="3.28125" style="0" customWidth="1"/>
  </cols>
  <sheetData>
    <row r="1" spans="4:38" ht="12.75" customHeight="1">
      <c r="D1" s="34" t="s">
        <v>13</v>
      </c>
      <c r="O1" s="22" t="s">
        <v>9</v>
      </c>
      <c r="P1" s="33">
        <v>210</v>
      </c>
      <c r="Q1" s="33"/>
      <c r="R1" s="76"/>
      <c r="S1" s="221"/>
      <c r="T1" s="221"/>
      <c r="U1" s="2" t="s">
        <v>55</v>
      </c>
      <c r="X1" s="263" t="s">
        <v>74</v>
      </c>
      <c r="Z1" s="222"/>
      <c r="AA1" s="222"/>
      <c r="AB1" s="232">
        <v>45900</v>
      </c>
      <c r="AC1" s="2"/>
      <c r="AE1" s="146"/>
      <c r="AF1" s="2"/>
      <c r="AG1" s="2" t="s">
        <v>65</v>
      </c>
      <c r="AL1" s="222"/>
    </row>
    <row r="2" spans="18:38" ht="2.25" customHeight="1">
      <c r="R2" s="76"/>
      <c r="S2" s="221"/>
      <c r="T2" s="221"/>
      <c r="Z2" s="222"/>
      <c r="AA2" s="222"/>
      <c r="AB2" s="2"/>
      <c r="AC2" s="2"/>
      <c r="AD2" s="126"/>
      <c r="AE2" s="146"/>
      <c r="AF2" s="2"/>
      <c r="AL2" s="222"/>
    </row>
    <row r="3" spans="1:38" ht="12.75">
      <c r="A3" s="8"/>
      <c r="B3" s="8"/>
      <c r="C3" s="8"/>
      <c r="D3" s="40" t="s">
        <v>127</v>
      </c>
      <c r="E3" s="10"/>
      <c r="F3" s="10"/>
      <c r="G3" s="11"/>
      <c r="H3" s="12"/>
      <c r="I3" s="9"/>
      <c r="J3" s="10"/>
      <c r="K3" s="11"/>
      <c r="L3" s="27"/>
      <c r="M3" s="27"/>
      <c r="N3" s="23"/>
      <c r="O3" s="8"/>
      <c r="P3" s="31"/>
      <c r="Q3" s="31"/>
      <c r="R3" s="76"/>
      <c r="S3" s="221"/>
      <c r="T3" s="221"/>
      <c r="U3" t="s">
        <v>54</v>
      </c>
      <c r="V3" t="s">
        <v>54</v>
      </c>
      <c r="W3" t="s">
        <v>54</v>
      </c>
      <c r="X3" t="s">
        <v>54</v>
      </c>
      <c r="Y3" t="s">
        <v>54</v>
      </c>
      <c r="Z3" s="222"/>
      <c r="AA3" s="222"/>
      <c r="AB3" s="2"/>
      <c r="AC3" s="2"/>
      <c r="AD3" s="126"/>
      <c r="AE3" s="146"/>
      <c r="AF3" s="2"/>
      <c r="AG3" t="s">
        <v>54</v>
      </c>
      <c r="AH3" t="s">
        <v>54</v>
      </c>
      <c r="AI3" t="s">
        <v>54</v>
      </c>
      <c r="AJ3" t="s">
        <v>54</v>
      </c>
      <c r="AK3" t="s">
        <v>54</v>
      </c>
      <c r="AL3" s="222"/>
    </row>
    <row r="4" spans="1:38" ht="3" customHeight="1">
      <c r="A4" s="8"/>
      <c r="B4" s="8"/>
      <c r="C4" s="8"/>
      <c r="D4" s="9"/>
      <c r="E4" s="10"/>
      <c r="F4" s="10"/>
      <c r="G4" s="11"/>
      <c r="H4" s="12"/>
      <c r="I4" s="9"/>
      <c r="J4" s="10"/>
      <c r="K4" s="11"/>
      <c r="L4" s="27"/>
      <c r="M4" s="27"/>
      <c r="N4" s="23"/>
      <c r="O4" s="8"/>
      <c r="P4" s="31"/>
      <c r="Q4" s="31"/>
      <c r="R4" s="76"/>
      <c r="S4" s="221"/>
      <c r="T4" s="221"/>
      <c r="Z4" s="222"/>
      <c r="AA4" s="222"/>
      <c r="AB4" s="2"/>
      <c r="AC4" s="2"/>
      <c r="AD4" s="126"/>
      <c r="AE4" s="146"/>
      <c r="AF4" s="2"/>
      <c r="AL4" s="222"/>
    </row>
    <row r="5" spans="1:38" ht="35.25" customHeight="1">
      <c r="A5" s="8"/>
      <c r="B5" s="8"/>
      <c r="C5" s="8"/>
      <c r="D5" s="418" t="s">
        <v>122</v>
      </c>
      <c r="E5" s="419"/>
      <c r="F5" s="419"/>
      <c r="G5" s="420"/>
      <c r="H5" s="25"/>
      <c r="I5" s="421" t="s">
        <v>123</v>
      </c>
      <c r="J5" s="422"/>
      <c r="K5" s="422"/>
      <c r="L5" s="422"/>
      <c r="M5" s="423"/>
      <c r="N5" s="63"/>
      <c r="O5" s="8"/>
      <c r="P5" s="63"/>
      <c r="Q5" s="63"/>
      <c r="R5" s="76"/>
      <c r="S5" s="221"/>
      <c r="T5" s="221"/>
      <c r="U5" s="243">
        <v>0.073</v>
      </c>
      <c r="V5" s="244">
        <v>0.00975</v>
      </c>
      <c r="W5" s="243">
        <v>0.015</v>
      </c>
      <c r="X5" s="243">
        <v>0.098</v>
      </c>
      <c r="Y5" s="243">
        <v>0.0645</v>
      </c>
      <c r="Z5" s="243">
        <f>SUM(U5:Y5)</f>
        <v>0.26025</v>
      </c>
      <c r="AA5" s="222"/>
      <c r="AB5" s="2"/>
      <c r="AC5" s="2"/>
      <c r="AD5" s="126"/>
      <c r="AE5" s="146"/>
      <c r="AF5" s="2"/>
      <c r="AG5" s="243">
        <v>0.082</v>
      </c>
      <c r="AH5" s="244">
        <v>0.00975</v>
      </c>
      <c r="AI5" s="243">
        <v>0.015</v>
      </c>
      <c r="AJ5" s="243">
        <v>0.098</v>
      </c>
      <c r="AK5" s="243">
        <v>0.0141</v>
      </c>
      <c r="AL5" s="243">
        <f>SUM(AG5:AK5)</f>
        <v>0.21885</v>
      </c>
    </row>
    <row r="6" spans="1:38" ht="33" customHeight="1">
      <c r="A6" s="116" t="s">
        <v>32</v>
      </c>
      <c r="B6" s="13" t="s">
        <v>1</v>
      </c>
      <c r="C6" s="13"/>
      <c r="D6" s="64" t="s">
        <v>2</v>
      </c>
      <c r="E6" s="65" t="s">
        <v>4</v>
      </c>
      <c r="F6" s="65" t="s">
        <v>3</v>
      </c>
      <c r="G6" s="66" t="s">
        <v>26</v>
      </c>
      <c r="H6" s="15"/>
      <c r="I6" s="64" t="s">
        <v>2</v>
      </c>
      <c r="J6" s="65" t="s">
        <v>5</v>
      </c>
      <c r="K6" s="67" t="s">
        <v>6</v>
      </c>
      <c r="L6" s="68" t="s">
        <v>8</v>
      </c>
      <c r="M6" s="69" t="s">
        <v>27</v>
      </c>
      <c r="N6" s="116" t="s">
        <v>32</v>
      </c>
      <c r="O6" s="13" t="s">
        <v>1</v>
      </c>
      <c r="P6" s="48"/>
      <c r="Q6" s="48"/>
      <c r="R6" s="76"/>
      <c r="S6" s="221"/>
      <c r="T6" s="223"/>
      <c r="U6" s="224" t="s">
        <v>67</v>
      </c>
      <c r="V6" s="224" t="s">
        <v>56</v>
      </c>
      <c r="W6" s="224" t="s">
        <v>81</v>
      </c>
      <c r="X6" s="224" t="s">
        <v>82</v>
      </c>
      <c r="Y6" s="224" t="s">
        <v>66</v>
      </c>
      <c r="Z6" s="225" t="s">
        <v>59</v>
      </c>
      <c r="AA6" s="225" t="s">
        <v>75</v>
      </c>
      <c r="AB6" s="226" t="s">
        <v>61</v>
      </c>
      <c r="AC6" s="227"/>
      <c r="AD6" s="248" t="s">
        <v>62</v>
      </c>
      <c r="AE6" s="249" t="s">
        <v>64</v>
      </c>
      <c r="AF6" s="227"/>
      <c r="AG6" s="250" t="s">
        <v>67</v>
      </c>
      <c r="AH6" s="224" t="s">
        <v>56</v>
      </c>
      <c r="AI6" s="224" t="s">
        <v>57</v>
      </c>
      <c r="AJ6" s="224" t="s">
        <v>58</v>
      </c>
      <c r="AK6" s="224" t="s">
        <v>66</v>
      </c>
      <c r="AL6" s="256" t="s">
        <v>59</v>
      </c>
    </row>
    <row r="7" spans="1:38" ht="11.25" customHeight="1">
      <c r="A7" s="8">
        <v>1</v>
      </c>
      <c r="B7" s="8">
        <v>27</v>
      </c>
      <c r="C7" s="8"/>
      <c r="D7" s="16">
        <v>1</v>
      </c>
      <c r="E7" s="17">
        <f>VLOOKUP(D7,'A13 - Tabelle'!$A$6:$F$13,6)</f>
        <v>47088.24</v>
      </c>
      <c r="F7" s="17">
        <f>VLOOKUP(D7,'A13 - Tabelle'!$A$6:$G$13,7)</f>
        <v>36235.46</v>
      </c>
      <c r="G7" s="18">
        <f aca="true" t="shared" si="0" ref="G7:G46">F7-12*$P$1</f>
        <v>33715.46</v>
      </c>
      <c r="H7" s="19"/>
      <c r="I7" s="16">
        <v>1</v>
      </c>
      <c r="J7" s="17">
        <f>VLOOKUP(I7,'E13 - Tabelle'!$A$7:$L$18,11)</f>
        <v>45900.25</v>
      </c>
      <c r="K7" s="20">
        <f>VLOOKUP(I7,'E13 - Tabelle'!$A$7:$L$18,12)</f>
        <v>26732.95</v>
      </c>
      <c r="L7" s="28">
        <f aca="true" t="shared" si="1" ref="L7:L46">K7-G7</f>
        <v>-6982.509999999998</v>
      </c>
      <c r="M7" s="32">
        <f>L7</f>
        <v>-6982.509999999998</v>
      </c>
      <c r="N7" s="8">
        <v>1</v>
      </c>
      <c r="O7" s="8">
        <v>27</v>
      </c>
      <c r="P7" s="47"/>
      <c r="Q7" s="47"/>
      <c r="R7" s="76"/>
      <c r="S7" s="221"/>
      <c r="T7" s="228"/>
      <c r="U7" s="229">
        <f aca="true" t="shared" si="2" ref="U7:V26">IF(($J7&lt;$AB$1),$J7/12*U$5,$AB$1/12*U$5)</f>
        <v>279.22499999999997</v>
      </c>
      <c r="V7" s="229">
        <f t="shared" si="2"/>
        <v>37.29375</v>
      </c>
      <c r="W7" s="229">
        <f aca="true" t="shared" si="3" ref="W7:Y26">$J7/12*W$5</f>
        <v>57.3753125</v>
      </c>
      <c r="X7" s="229">
        <f t="shared" si="3"/>
        <v>374.8520416666667</v>
      </c>
      <c r="Y7" s="229">
        <f t="shared" si="3"/>
        <v>246.71384375000002</v>
      </c>
      <c r="Z7" s="230">
        <f>SUM(U7:Y7)</f>
        <v>995.4599479166667</v>
      </c>
      <c r="AA7" s="230">
        <f aca="true" t="shared" si="4" ref="AA7:AA46">J7/12</f>
        <v>3825.0208333333335</v>
      </c>
      <c r="AB7" s="231">
        <f>AA7+Z7</f>
        <v>4820.48078125</v>
      </c>
      <c r="AC7" s="232"/>
      <c r="AD7" s="245">
        <f>K7/12</f>
        <v>2227.7458333333334</v>
      </c>
      <c r="AE7" s="246">
        <f aca="true" t="shared" si="5" ref="AE7:AE46">AB7-AD7</f>
        <v>2592.734947916667</v>
      </c>
      <c r="AF7" s="232"/>
      <c r="AG7" s="251">
        <f aca="true" t="shared" si="6" ref="AG7:AH26">IF(($J7&lt;$AB$1),$J7/12*AG$5,$AB$1/12*AG$5)</f>
        <v>313.65000000000003</v>
      </c>
      <c r="AH7" s="251">
        <f t="shared" si="6"/>
        <v>37.29375</v>
      </c>
      <c r="AI7" s="229">
        <f>$J7/12*AI$5</f>
        <v>57.3753125</v>
      </c>
      <c r="AJ7" s="229">
        <f>$J7/12*AJ$5</f>
        <v>374.8520416666667</v>
      </c>
      <c r="AK7" s="229">
        <f>$J7/12*AK$5</f>
        <v>53.93279375</v>
      </c>
      <c r="AL7" s="255">
        <f>SUM(AG7:AK7)</f>
        <v>837.1038979166667</v>
      </c>
    </row>
    <row r="8" spans="1:38" ht="11.25" customHeight="1">
      <c r="A8" s="8">
        <v>2</v>
      </c>
      <c r="B8" s="8">
        <v>28</v>
      </c>
      <c r="C8" s="8"/>
      <c r="D8" s="16">
        <v>1</v>
      </c>
      <c r="E8" s="17">
        <f>VLOOKUP(D8,'A13 - Tabelle'!$A$6:$F$13,6)</f>
        <v>47088.24</v>
      </c>
      <c r="F8" s="17">
        <f>VLOOKUP(D8,'A13 - Tabelle'!$A$6:$G$13,7)</f>
        <v>36235.46</v>
      </c>
      <c r="G8" s="18">
        <f t="shared" si="0"/>
        <v>33715.46</v>
      </c>
      <c r="H8" s="19"/>
      <c r="I8" s="16">
        <v>2</v>
      </c>
      <c r="J8" s="17">
        <f>VLOOKUP(I8,'E13 - Tabelle'!$A$7:$L$18,11)</f>
        <v>50947</v>
      </c>
      <c r="K8" s="20">
        <f>VLOOKUP(I8,'E13 - Tabelle'!$A$7:$L$18,12)</f>
        <v>28985.7</v>
      </c>
      <c r="L8" s="28">
        <f t="shared" si="1"/>
        <v>-4729.759999999998</v>
      </c>
      <c r="M8" s="32">
        <f>L8+M7</f>
        <v>-11712.269999999997</v>
      </c>
      <c r="N8" s="8">
        <v>2</v>
      </c>
      <c r="O8" s="8">
        <v>28</v>
      </c>
      <c r="P8" s="47"/>
      <c r="Q8" s="47"/>
      <c r="R8" s="76"/>
      <c r="S8" s="221"/>
      <c r="T8" s="228"/>
      <c r="U8" s="229">
        <f t="shared" si="2"/>
        <v>279.22499999999997</v>
      </c>
      <c r="V8" s="229">
        <f t="shared" si="2"/>
        <v>37.29375</v>
      </c>
      <c r="W8" s="229">
        <f t="shared" si="3"/>
        <v>63.683749999999996</v>
      </c>
      <c r="X8" s="229">
        <f t="shared" si="3"/>
        <v>416.06716666666665</v>
      </c>
      <c r="Y8" s="229">
        <f t="shared" si="3"/>
        <v>273.840125</v>
      </c>
      <c r="Z8" s="230">
        <f aca="true" t="shared" si="7" ref="Z8:Z46">SUM(U8:Y8)</f>
        <v>1070.1097916666665</v>
      </c>
      <c r="AA8" s="230">
        <f t="shared" si="4"/>
        <v>4245.583333333333</v>
      </c>
      <c r="AB8" s="231">
        <f aca="true" t="shared" si="8" ref="AB8:AB46">AA8+Z8</f>
        <v>5315.693125</v>
      </c>
      <c r="AC8" s="232"/>
      <c r="AD8" s="245">
        <f aca="true" t="shared" si="9" ref="AD8:AD46">K8/12</f>
        <v>2415.475</v>
      </c>
      <c r="AE8" s="246">
        <f t="shared" si="5"/>
        <v>2900.218125</v>
      </c>
      <c r="AF8" s="232"/>
      <c r="AG8" s="251">
        <f t="shared" si="6"/>
        <v>313.65000000000003</v>
      </c>
      <c r="AH8" s="251">
        <f t="shared" si="6"/>
        <v>37.29375</v>
      </c>
      <c r="AI8" s="229">
        <f aca="true" t="shared" si="10" ref="AI8:AK46">$J8/12*AI$5</f>
        <v>63.683749999999996</v>
      </c>
      <c r="AJ8" s="229">
        <f t="shared" si="10"/>
        <v>416.06716666666665</v>
      </c>
      <c r="AK8" s="229">
        <f t="shared" si="10"/>
        <v>59.862725</v>
      </c>
      <c r="AL8" s="255">
        <f aca="true" t="shared" si="11" ref="AL8:AL46">SUM(AG8:AK8)</f>
        <v>890.5573916666666</v>
      </c>
    </row>
    <row r="9" spans="1:38" ht="11.25" customHeight="1">
      <c r="A9" s="8">
        <v>3</v>
      </c>
      <c r="B9" s="8">
        <v>29</v>
      </c>
      <c r="C9" s="8"/>
      <c r="D9" s="16">
        <v>2</v>
      </c>
      <c r="E9" s="17">
        <f>VLOOKUP(D9,'A13 - Tabelle'!$A$6:$F$13,6)</f>
        <v>49409.64</v>
      </c>
      <c r="F9" s="17">
        <f>VLOOKUP(D9,'A13 - Tabelle'!$A$6:$G$13,7)</f>
        <v>37624.24</v>
      </c>
      <c r="G9" s="18">
        <f t="shared" si="0"/>
        <v>35104.24</v>
      </c>
      <c r="H9" s="19"/>
      <c r="I9" s="16">
        <v>2</v>
      </c>
      <c r="J9" s="17">
        <f>VLOOKUP(I9,'E13 - Tabelle'!$A$7:$L$18,11)</f>
        <v>50947</v>
      </c>
      <c r="K9" s="20">
        <f>VLOOKUP(I9,'E13 - Tabelle'!$A$7:$L$18,12)</f>
        <v>28985.7</v>
      </c>
      <c r="L9" s="28">
        <f t="shared" si="1"/>
        <v>-6118.539999999997</v>
      </c>
      <c r="M9" s="32">
        <f aca="true" t="shared" si="12" ref="M9:M46">L9+M8</f>
        <v>-17830.809999999994</v>
      </c>
      <c r="N9" s="8">
        <v>3</v>
      </c>
      <c r="O9" s="8">
        <v>29</v>
      </c>
      <c r="P9" s="47"/>
      <c r="Q9" s="47"/>
      <c r="R9" s="76"/>
      <c r="S9" s="221"/>
      <c r="T9" s="228"/>
      <c r="U9" s="229">
        <f t="shared" si="2"/>
        <v>279.22499999999997</v>
      </c>
      <c r="V9" s="229">
        <f t="shared" si="2"/>
        <v>37.29375</v>
      </c>
      <c r="W9" s="229">
        <f t="shared" si="3"/>
        <v>63.683749999999996</v>
      </c>
      <c r="X9" s="229">
        <f t="shared" si="3"/>
        <v>416.06716666666665</v>
      </c>
      <c r="Y9" s="229">
        <f t="shared" si="3"/>
        <v>273.840125</v>
      </c>
      <c r="Z9" s="230">
        <f t="shared" si="7"/>
        <v>1070.1097916666665</v>
      </c>
      <c r="AA9" s="230">
        <f t="shared" si="4"/>
        <v>4245.583333333333</v>
      </c>
      <c r="AB9" s="231">
        <f t="shared" si="8"/>
        <v>5315.693125</v>
      </c>
      <c r="AC9" s="232"/>
      <c r="AD9" s="245">
        <f t="shared" si="9"/>
        <v>2415.475</v>
      </c>
      <c r="AE9" s="246">
        <f t="shared" si="5"/>
        <v>2900.218125</v>
      </c>
      <c r="AF9" s="232"/>
      <c r="AG9" s="251">
        <f t="shared" si="6"/>
        <v>313.65000000000003</v>
      </c>
      <c r="AH9" s="251">
        <f t="shared" si="6"/>
        <v>37.29375</v>
      </c>
      <c r="AI9" s="229">
        <f t="shared" si="10"/>
        <v>63.683749999999996</v>
      </c>
      <c r="AJ9" s="229">
        <f t="shared" si="10"/>
        <v>416.06716666666665</v>
      </c>
      <c r="AK9" s="229">
        <f t="shared" si="10"/>
        <v>59.862725</v>
      </c>
      <c r="AL9" s="255">
        <f t="shared" si="11"/>
        <v>890.5573916666666</v>
      </c>
    </row>
    <row r="10" spans="1:38" ht="11.25" customHeight="1">
      <c r="A10" s="8">
        <v>4</v>
      </c>
      <c r="B10" s="8">
        <v>30</v>
      </c>
      <c r="C10" s="8"/>
      <c r="D10" s="16">
        <v>2</v>
      </c>
      <c r="E10" s="17">
        <f>VLOOKUP(D10,'A13 - Tabelle'!$A$6:$F$13,6)</f>
        <v>49409.64</v>
      </c>
      <c r="F10" s="17">
        <f>VLOOKUP(D10,'A13 - Tabelle'!$A$6:$G$13,7)</f>
        <v>37624.24</v>
      </c>
      <c r="G10" s="18">
        <f t="shared" si="0"/>
        <v>35104.24</v>
      </c>
      <c r="H10" s="19"/>
      <c r="I10" s="16">
        <v>3</v>
      </c>
      <c r="J10" s="17">
        <f>VLOOKUP(I10,'E13 - Tabelle'!$A$7:$L$18,11)</f>
        <v>53664.630000000005</v>
      </c>
      <c r="K10" s="20">
        <f>VLOOKUP(I10,'E13 - Tabelle'!$A$7:$L$18,12)</f>
        <v>30294.75</v>
      </c>
      <c r="L10" s="28">
        <f t="shared" si="1"/>
        <v>-4809.489999999998</v>
      </c>
      <c r="M10" s="32">
        <f t="shared" si="12"/>
        <v>-22640.299999999992</v>
      </c>
      <c r="N10" s="8">
        <v>4</v>
      </c>
      <c r="O10" s="8">
        <v>30</v>
      </c>
      <c r="P10" s="47"/>
      <c r="Q10" s="47"/>
      <c r="R10" s="76"/>
      <c r="S10" s="221"/>
      <c r="T10" s="228"/>
      <c r="U10" s="229">
        <f t="shared" si="2"/>
        <v>279.22499999999997</v>
      </c>
      <c r="V10" s="229">
        <f t="shared" si="2"/>
        <v>37.29375</v>
      </c>
      <c r="W10" s="229">
        <f t="shared" si="3"/>
        <v>67.08078750000001</v>
      </c>
      <c r="X10" s="229">
        <f t="shared" si="3"/>
        <v>438.2611450000001</v>
      </c>
      <c r="Y10" s="229">
        <f t="shared" si="3"/>
        <v>288.4473862500001</v>
      </c>
      <c r="Z10" s="230">
        <f t="shared" si="7"/>
        <v>1110.3080687500003</v>
      </c>
      <c r="AA10" s="230">
        <f t="shared" si="4"/>
        <v>4472.052500000001</v>
      </c>
      <c r="AB10" s="231">
        <f t="shared" si="8"/>
        <v>5582.360568750001</v>
      </c>
      <c r="AC10" s="232"/>
      <c r="AD10" s="245">
        <f t="shared" si="9"/>
        <v>2524.5625</v>
      </c>
      <c r="AE10" s="246">
        <f t="shared" si="5"/>
        <v>3057.798068750001</v>
      </c>
      <c r="AF10" s="232"/>
      <c r="AG10" s="251">
        <f t="shared" si="6"/>
        <v>313.65000000000003</v>
      </c>
      <c r="AH10" s="251">
        <f t="shared" si="6"/>
        <v>37.29375</v>
      </c>
      <c r="AI10" s="229">
        <f t="shared" si="10"/>
        <v>67.08078750000001</v>
      </c>
      <c r="AJ10" s="229">
        <f t="shared" si="10"/>
        <v>438.2611450000001</v>
      </c>
      <c r="AK10" s="229">
        <f t="shared" si="10"/>
        <v>63.055940250000006</v>
      </c>
      <c r="AL10" s="255">
        <f t="shared" si="11"/>
        <v>919.3416227500002</v>
      </c>
    </row>
    <row r="11" spans="1:38" ht="11.25" customHeight="1">
      <c r="A11" s="8">
        <v>5</v>
      </c>
      <c r="B11" s="8">
        <v>31</v>
      </c>
      <c r="C11" s="8"/>
      <c r="D11" s="16">
        <v>2</v>
      </c>
      <c r="E11" s="17">
        <f>VLOOKUP(D11,'A13 - Tabelle'!$A$6:$F$13,6)</f>
        <v>49409.64</v>
      </c>
      <c r="F11" s="17">
        <f>VLOOKUP(D11,'A13 - Tabelle'!$A$6:$G$13,7)</f>
        <v>37624.24</v>
      </c>
      <c r="G11" s="18">
        <f t="shared" si="0"/>
        <v>35104.24</v>
      </c>
      <c r="H11" s="19"/>
      <c r="I11" s="16">
        <v>3</v>
      </c>
      <c r="J11" s="17">
        <f>VLOOKUP(I11,'E13 - Tabelle'!$A$7:$L$18,11)</f>
        <v>53664.630000000005</v>
      </c>
      <c r="K11" s="20">
        <f>VLOOKUP(I11,'E13 - Tabelle'!$A$7:$L$18,12)</f>
        <v>30294.75</v>
      </c>
      <c r="L11" s="28">
        <f t="shared" si="1"/>
        <v>-4809.489999999998</v>
      </c>
      <c r="M11" s="32">
        <f t="shared" si="12"/>
        <v>-27449.78999999999</v>
      </c>
      <c r="N11" s="8">
        <v>5</v>
      </c>
      <c r="O11" s="8">
        <v>31</v>
      </c>
      <c r="P11" s="47"/>
      <c r="Q11" s="47"/>
      <c r="R11" s="76"/>
      <c r="S11" s="221"/>
      <c r="T11" s="228"/>
      <c r="U11" s="229">
        <f t="shared" si="2"/>
        <v>279.22499999999997</v>
      </c>
      <c r="V11" s="229">
        <f t="shared" si="2"/>
        <v>37.29375</v>
      </c>
      <c r="W11" s="229">
        <f t="shared" si="3"/>
        <v>67.08078750000001</v>
      </c>
      <c r="X11" s="229">
        <f t="shared" si="3"/>
        <v>438.2611450000001</v>
      </c>
      <c r="Y11" s="229">
        <f t="shared" si="3"/>
        <v>288.4473862500001</v>
      </c>
      <c r="Z11" s="230">
        <f t="shared" si="7"/>
        <v>1110.3080687500003</v>
      </c>
      <c r="AA11" s="230">
        <f t="shared" si="4"/>
        <v>4472.052500000001</v>
      </c>
      <c r="AB11" s="231">
        <f t="shared" si="8"/>
        <v>5582.360568750001</v>
      </c>
      <c r="AC11" s="232"/>
      <c r="AD11" s="245">
        <f t="shared" si="9"/>
        <v>2524.5625</v>
      </c>
      <c r="AE11" s="246">
        <f t="shared" si="5"/>
        <v>3057.798068750001</v>
      </c>
      <c r="AF11" s="232"/>
      <c r="AG11" s="251">
        <f t="shared" si="6"/>
        <v>313.65000000000003</v>
      </c>
      <c r="AH11" s="251">
        <f t="shared" si="6"/>
        <v>37.29375</v>
      </c>
      <c r="AI11" s="229">
        <f t="shared" si="10"/>
        <v>67.08078750000001</v>
      </c>
      <c r="AJ11" s="229">
        <f t="shared" si="10"/>
        <v>438.2611450000001</v>
      </c>
      <c r="AK11" s="229">
        <f t="shared" si="10"/>
        <v>63.055940250000006</v>
      </c>
      <c r="AL11" s="255">
        <f t="shared" si="11"/>
        <v>919.3416227500002</v>
      </c>
    </row>
    <row r="12" spans="1:38" ht="11.25" customHeight="1">
      <c r="A12" s="8">
        <v>6</v>
      </c>
      <c r="B12" s="8">
        <v>32</v>
      </c>
      <c r="C12" s="8"/>
      <c r="D12" s="16">
        <v>3</v>
      </c>
      <c r="E12" s="17">
        <f>VLOOKUP(D12,'A13 - Tabelle'!$A$6:$F$13,6)</f>
        <v>51730.799999999996</v>
      </c>
      <c r="F12" s="17">
        <f>VLOOKUP(D12,'A13 - Tabelle'!$A$6:$G$13,7)</f>
        <v>38986.4</v>
      </c>
      <c r="G12" s="18">
        <f t="shared" si="0"/>
        <v>36466.4</v>
      </c>
      <c r="H12" s="19"/>
      <c r="I12" s="16">
        <v>3</v>
      </c>
      <c r="J12" s="17">
        <f>VLOOKUP(I12,'E13 - Tabelle'!$A$7:$L$18,11)</f>
        <v>53664.630000000005</v>
      </c>
      <c r="K12" s="20">
        <f>VLOOKUP(I12,'E13 - Tabelle'!$A$7:$L$18,12)</f>
        <v>30294.75</v>
      </c>
      <c r="L12" s="28">
        <f t="shared" si="1"/>
        <v>-6171.6500000000015</v>
      </c>
      <c r="M12" s="32">
        <f t="shared" si="12"/>
        <v>-33621.43999999999</v>
      </c>
      <c r="N12" s="8">
        <v>6</v>
      </c>
      <c r="O12" s="8">
        <v>32</v>
      </c>
      <c r="P12" s="47"/>
      <c r="Q12" s="47"/>
      <c r="R12" s="76"/>
      <c r="S12" s="221"/>
      <c r="T12" s="228"/>
      <c r="U12" s="229">
        <f t="shared" si="2"/>
        <v>279.22499999999997</v>
      </c>
      <c r="V12" s="229">
        <f t="shared" si="2"/>
        <v>37.29375</v>
      </c>
      <c r="W12" s="229">
        <f t="shared" si="3"/>
        <v>67.08078750000001</v>
      </c>
      <c r="X12" s="229">
        <f t="shared" si="3"/>
        <v>438.2611450000001</v>
      </c>
      <c r="Y12" s="229">
        <f t="shared" si="3"/>
        <v>288.4473862500001</v>
      </c>
      <c r="Z12" s="230">
        <f t="shared" si="7"/>
        <v>1110.3080687500003</v>
      </c>
      <c r="AA12" s="230">
        <f t="shared" si="4"/>
        <v>4472.052500000001</v>
      </c>
      <c r="AB12" s="231">
        <f t="shared" si="8"/>
        <v>5582.360568750001</v>
      </c>
      <c r="AC12" s="232"/>
      <c r="AD12" s="245">
        <f t="shared" si="9"/>
        <v>2524.5625</v>
      </c>
      <c r="AE12" s="246">
        <f t="shared" si="5"/>
        <v>3057.798068750001</v>
      </c>
      <c r="AF12" s="232"/>
      <c r="AG12" s="251">
        <f t="shared" si="6"/>
        <v>313.65000000000003</v>
      </c>
      <c r="AH12" s="251">
        <f t="shared" si="6"/>
        <v>37.29375</v>
      </c>
      <c r="AI12" s="229">
        <f t="shared" si="10"/>
        <v>67.08078750000001</v>
      </c>
      <c r="AJ12" s="229">
        <f t="shared" si="10"/>
        <v>438.2611450000001</v>
      </c>
      <c r="AK12" s="229">
        <f t="shared" si="10"/>
        <v>63.055940250000006</v>
      </c>
      <c r="AL12" s="255">
        <f t="shared" si="11"/>
        <v>919.3416227500002</v>
      </c>
    </row>
    <row r="13" spans="1:38" ht="11.25" customHeight="1">
      <c r="A13" s="8">
        <v>7</v>
      </c>
      <c r="B13" s="8">
        <v>33</v>
      </c>
      <c r="C13" s="8"/>
      <c r="D13" s="16">
        <v>3</v>
      </c>
      <c r="E13" s="17">
        <f>VLOOKUP(D13,'A13 - Tabelle'!$A$6:$F$13,6)</f>
        <v>51730.799999999996</v>
      </c>
      <c r="F13" s="17">
        <f>VLOOKUP(D13,'A13 - Tabelle'!$A$6:$G$13,7)</f>
        <v>38986.4</v>
      </c>
      <c r="G13" s="18">
        <f t="shared" si="0"/>
        <v>36466.4</v>
      </c>
      <c r="H13" s="19"/>
      <c r="I13" s="16">
        <v>4</v>
      </c>
      <c r="J13" s="17">
        <f>VLOOKUP(I13,'E13 - Tabelle'!$A$7:$L$18,11)</f>
        <v>58944.380000000005</v>
      </c>
      <c r="K13" s="20">
        <f>VLOOKUP(I13,'E13 - Tabelle'!$A$7:$L$18,12)</f>
        <v>32694.79</v>
      </c>
      <c r="L13" s="28">
        <f t="shared" si="1"/>
        <v>-3771.6100000000006</v>
      </c>
      <c r="M13" s="32">
        <f t="shared" si="12"/>
        <v>-37393.04999999999</v>
      </c>
      <c r="N13" s="8">
        <v>7</v>
      </c>
      <c r="O13" s="8">
        <v>33</v>
      </c>
      <c r="P13" s="47"/>
      <c r="Q13" s="47"/>
      <c r="R13" s="76"/>
      <c r="S13" s="221"/>
      <c r="T13" s="228"/>
      <c r="U13" s="229">
        <f t="shared" si="2"/>
        <v>279.22499999999997</v>
      </c>
      <c r="V13" s="229">
        <f t="shared" si="2"/>
        <v>37.29375</v>
      </c>
      <c r="W13" s="229">
        <f t="shared" si="3"/>
        <v>73.680475</v>
      </c>
      <c r="X13" s="229">
        <f t="shared" si="3"/>
        <v>481.3791033333334</v>
      </c>
      <c r="Y13" s="229">
        <f t="shared" si="3"/>
        <v>316.8260425</v>
      </c>
      <c r="Z13" s="230">
        <f t="shared" si="7"/>
        <v>1188.4043708333334</v>
      </c>
      <c r="AA13" s="230">
        <f t="shared" si="4"/>
        <v>4912.031666666667</v>
      </c>
      <c r="AB13" s="231">
        <f t="shared" si="8"/>
        <v>6100.4360375</v>
      </c>
      <c r="AC13" s="232"/>
      <c r="AD13" s="245">
        <f t="shared" si="9"/>
        <v>2724.5658333333336</v>
      </c>
      <c r="AE13" s="246">
        <f t="shared" si="5"/>
        <v>3375.870204166666</v>
      </c>
      <c r="AF13" s="232"/>
      <c r="AG13" s="251">
        <f t="shared" si="6"/>
        <v>313.65000000000003</v>
      </c>
      <c r="AH13" s="251">
        <f t="shared" si="6"/>
        <v>37.29375</v>
      </c>
      <c r="AI13" s="229">
        <f t="shared" si="10"/>
        <v>73.680475</v>
      </c>
      <c r="AJ13" s="229">
        <f t="shared" si="10"/>
        <v>481.3791033333334</v>
      </c>
      <c r="AK13" s="229">
        <f t="shared" si="10"/>
        <v>69.2596465</v>
      </c>
      <c r="AL13" s="255">
        <f t="shared" si="11"/>
        <v>975.2629748333335</v>
      </c>
    </row>
    <row r="14" spans="1:38" ht="11.25" customHeight="1">
      <c r="A14" s="8">
        <v>8</v>
      </c>
      <c r="B14" s="8">
        <v>34</v>
      </c>
      <c r="C14" s="8"/>
      <c r="D14" s="16">
        <v>3</v>
      </c>
      <c r="E14" s="17">
        <f>VLOOKUP(D14,'A13 - Tabelle'!$A$6:$F$13,6)</f>
        <v>51730.799999999996</v>
      </c>
      <c r="F14" s="17">
        <f>VLOOKUP(D14,'A13 - Tabelle'!$A$6:$G$13,7)</f>
        <v>38986.4</v>
      </c>
      <c r="G14" s="18">
        <f t="shared" si="0"/>
        <v>36466.4</v>
      </c>
      <c r="H14" s="19"/>
      <c r="I14" s="16">
        <v>4</v>
      </c>
      <c r="J14" s="17">
        <f>VLOOKUP(I14,'E13 - Tabelle'!$A$7:$L$18,11)</f>
        <v>58944.380000000005</v>
      </c>
      <c r="K14" s="20">
        <f>VLOOKUP(I14,'E13 - Tabelle'!$A$7:$L$18,12)</f>
        <v>32694.79</v>
      </c>
      <c r="L14" s="28">
        <f t="shared" si="1"/>
        <v>-3771.6100000000006</v>
      </c>
      <c r="M14" s="32">
        <f t="shared" si="12"/>
        <v>-41164.65999999999</v>
      </c>
      <c r="N14" s="8">
        <v>8</v>
      </c>
      <c r="O14" s="8">
        <v>34</v>
      </c>
      <c r="P14" s="47"/>
      <c r="Q14" s="47"/>
      <c r="R14" s="76"/>
      <c r="S14" s="221"/>
      <c r="T14" s="228"/>
      <c r="U14" s="229">
        <f t="shared" si="2"/>
        <v>279.22499999999997</v>
      </c>
      <c r="V14" s="229">
        <f t="shared" si="2"/>
        <v>37.29375</v>
      </c>
      <c r="W14" s="229">
        <f t="shared" si="3"/>
        <v>73.680475</v>
      </c>
      <c r="X14" s="229">
        <f t="shared" si="3"/>
        <v>481.3791033333334</v>
      </c>
      <c r="Y14" s="229">
        <f t="shared" si="3"/>
        <v>316.8260425</v>
      </c>
      <c r="Z14" s="230">
        <f t="shared" si="7"/>
        <v>1188.4043708333334</v>
      </c>
      <c r="AA14" s="230">
        <f t="shared" si="4"/>
        <v>4912.031666666667</v>
      </c>
      <c r="AB14" s="231">
        <f t="shared" si="8"/>
        <v>6100.4360375</v>
      </c>
      <c r="AC14" s="232"/>
      <c r="AD14" s="245">
        <f t="shared" si="9"/>
        <v>2724.5658333333336</v>
      </c>
      <c r="AE14" s="246">
        <f t="shared" si="5"/>
        <v>3375.870204166666</v>
      </c>
      <c r="AF14" s="232"/>
      <c r="AG14" s="251">
        <f t="shared" si="6"/>
        <v>313.65000000000003</v>
      </c>
      <c r="AH14" s="251">
        <f t="shared" si="6"/>
        <v>37.29375</v>
      </c>
      <c r="AI14" s="229">
        <f t="shared" si="10"/>
        <v>73.680475</v>
      </c>
      <c r="AJ14" s="229">
        <f t="shared" si="10"/>
        <v>481.3791033333334</v>
      </c>
      <c r="AK14" s="229">
        <f t="shared" si="10"/>
        <v>69.2596465</v>
      </c>
      <c r="AL14" s="255">
        <f t="shared" si="11"/>
        <v>975.2629748333335</v>
      </c>
    </row>
    <row r="15" spans="1:38" ht="11.25" customHeight="1">
      <c r="A15" s="8">
        <v>9</v>
      </c>
      <c r="B15" s="8">
        <v>35</v>
      </c>
      <c r="C15" s="8"/>
      <c r="D15" s="16">
        <v>4</v>
      </c>
      <c r="E15" s="17">
        <f>VLOOKUP(D15,'A13 - Tabelle'!$A$6:$F$13,6)</f>
        <v>54066.240000000005</v>
      </c>
      <c r="F15" s="17">
        <f>VLOOKUP(D15,'A13 - Tabelle'!$A$6:$G$13,7)</f>
        <v>40332.25</v>
      </c>
      <c r="G15" s="18">
        <f t="shared" si="0"/>
        <v>37812.25</v>
      </c>
      <c r="H15" s="19"/>
      <c r="I15" s="16">
        <v>4</v>
      </c>
      <c r="J15" s="17">
        <f>VLOOKUP(I15,'E13 - Tabelle'!$A$7:$L$18,11)</f>
        <v>58944.380000000005</v>
      </c>
      <c r="K15" s="20">
        <f>VLOOKUP(I15,'E13 - Tabelle'!$A$7:$L$18,12)</f>
        <v>32694.79</v>
      </c>
      <c r="L15" s="28">
        <f t="shared" si="1"/>
        <v>-5117.459999999999</v>
      </c>
      <c r="M15" s="32">
        <f t="shared" si="12"/>
        <v>-46282.11999999999</v>
      </c>
      <c r="N15" s="8">
        <v>9</v>
      </c>
      <c r="O15" s="8">
        <v>35</v>
      </c>
      <c r="P15" s="47"/>
      <c r="Q15" s="47"/>
      <c r="R15" s="76"/>
      <c r="S15" s="221"/>
      <c r="T15" s="228"/>
      <c r="U15" s="229">
        <f t="shared" si="2"/>
        <v>279.22499999999997</v>
      </c>
      <c r="V15" s="229">
        <f t="shared" si="2"/>
        <v>37.29375</v>
      </c>
      <c r="W15" s="229">
        <f t="shared" si="3"/>
        <v>73.680475</v>
      </c>
      <c r="X15" s="229">
        <f t="shared" si="3"/>
        <v>481.3791033333334</v>
      </c>
      <c r="Y15" s="229">
        <f t="shared" si="3"/>
        <v>316.8260425</v>
      </c>
      <c r="Z15" s="230">
        <f t="shared" si="7"/>
        <v>1188.4043708333334</v>
      </c>
      <c r="AA15" s="230">
        <f t="shared" si="4"/>
        <v>4912.031666666667</v>
      </c>
      <c r="AB15" s="231">
        <f t="shared" si="8"/>
        <v>6100.4360375</v>
      </c>
      <c r="AC15" s="232"/>
      <c r="AD15" s="245">
        <f t="shared" si="9"/>
        <v>2724.5658333333336</v>
      </c>
      <c r="AE15" s="246">
        <f t="shared" si="5"/>
        <v>3375.870204166666</v>
      </c>
      <c r="AF15" s="232"/>
      <c r="AG15" s="251">
        <f t="shared" si="6"/>
        <v>313.65000000000003</v>
      </c>
      <c r="AH15" s="251">
        <f t="shared" si="6"/>
        <v>37.29375</v>
      </c>
      <c r="AI15" s="229">
        <f t="shared" si="10"/>
        <v>73.680475</v>
      </c>
      <c r="AJ15" s="229">
        <f t="shared" si="10"/>
        <v>481.3791033333334</v>
      </c>
      <c r="AK15" s="229">
        <f t="shared" si="10"/>
        <v>69.2596465</v>
      </c>
      <c r="AL15" s="255">
        <f t="shared" si="11"/>
        <v>975.2629748333335</v>
      </c>
    </row>
    <row r="16" spans="1:38" ht="11.25" customHeight="1">
      <c r="A16" s="8">
        <v>10</v>
      </c>
      <c r="B16" s="8">
        <v>36</v>
      </c>
      <c r="C16" s="8"/>
      <c r="D16" s="16">
        <v>4</v>
      </c>
      <c r="E16" s="17">
        <f>VLOOKUP(D16,'A13 - Tabelle'!$A$6:$F$13,6)</f>
        <v>54066.240000000005</v>
      </c>
      <c r="F16" s="17">
        <f>VLOOKUP(D16,'A13 - Tabelle'!$A$6:$G$13,7)</f>
        <v>40332.25</v>
      </c>
      <c r="G16" s="18">
        <f t="shared" si="0"/>
        <v>37812.25</v>
      </c>
      <c r="H16" s="19"/>
      <c r="I16" s="16">
        <v>4</v>
      </c>
      <c r="J16" s="17">
        <f>VLOOKUP(I16,'E13 - Tabelle'!$A$7:$L$18,11)</f>
        <v>58944.380000000005</v>
      </c>
      <c r="K16" s="20">
        <f>VLOOKUP(I16,'E13 - Tabelle'!$A$7:$L$18,12)</f>
        <v>32694.79</v>
      </c>
      <c r="L16" s="28">
        <f t="shared" si="1"/>
        <v>-5117.459999999999</v>
      </c>
      <c r="M16" s="32">
        <f t="shared" si="12"/>
        <v>-51399.57999999999</v>
      </c>
      <c r="N16" s="8">
        <v>10</v>
      </c>
      <c r="O16" s="8">
        <v>36</v>
      </c>
      <c r="P16" s="47"/>
      <c r="Q16" s="47"/>
      <c r="R16" s="76"/>
      <c r="S16" s="221"/>
      <c r="T16" s="228"/>
      <c r="U16" s="229">
        <f t="shared" si="2"/>
        <v>279.22499999999997</v>
      </c>
      <c r="V16" s="229">
        <f t="shared" si="2"/>
        <v>37.29375</v>
      </c>
      <c r="W16" s="229">
        <f t="shared" si="3"/>
        <v>73.680475</v>
      </c>
      <c r="X16" s="229">
        <f t="shared" si="3"/>
        <v>481.3791033333334</v>
      </c>
      <c r="Y16" s="229">
        <f t="shared" si="3"/>
        <v>316.8260425</v>
      </c>
      <c r="Z16" s="230">
        <f t="shared" si="7"/>
        <v>1188.4043708333334</v>
      </c>
      <c r="AA16" s="230">
        <f t="shared" si="4"/>
        <v>4912.031666666667</v>
      </c>
      <c r="AB16" s="231">
        <f t="shared" si="8"/>
        <v>6100.4360375</v>
      </c>
      <c r="AC16" s="232"/>
      <c r="AD16" s="245">
        <f t="shared" si="9"/>
        <v>2724.5658333333336</v>
      </c>
      <c r="AE16" s="246">
        <f t="shared" si="5"/>
        <v>3375.870204166666</v>
      </c>
      <c r="AF16" s="232"/>
      <c r="AG16" s="251">
        <f t="shared" si="6"/>
        <v>313.65000000000003</v>
      </c>
      <c r="AH16" s="251">
        <f t="shared" si="6"/>
        <v>37.29375</v>
      </c>
      <c r="AI16" s="229">
        <f t="shared" si="10"/>
        <v>73.680475</v>
      </c>
      <c r="AJ16" s="229">
        <f t="shared" si="10"/>
        <v>481.3791033333334</v>
      </c>
      <c r="AK16" s="229">
        <f t="shared" si="10"/>
        <v>69.2596465</v>
      </c>
      <c r="AL16" s="255">
        <f t="shared" si="11"/>
        <v>975.2629748333335</v>
      </c>
    </row>
    <row r="17" spans="1:38" ht="11.25" customHeight="1">
      <c r="A17" s="8">
        <v>11</v>
      </c>
      <c r="B17" s="8">
        <v>37</v>
      </c>
      <c r="C17" s="8"/>
      <c r="D17" s="16">
        <v>4</v>
      </c>
      <c r="E17" s="17">
        <f>VLOOKUP(D17,'A13 - Tabelle'!$A$6:$F$13,6)</f>
        <v>54066.240000000005</v>
      </c>
      <c r="F17" s="17">
        <f>VLOOKUP(D17,'A13 - Tabelle'!$A$6:$G$13,7)</f>
        <v>40332.25</v>
      </c>
      <c r="G17" s="18">
        <f t="shared" si="0"/>
        <v>37812.25</v>
      </c>
      <c r="H17" s="19"/>
      <c r="I17" s="16">
        <v>5</v>
      </c>
      <c r="J17" s="17">
        <f>VLOOKUP(I17,'E13 - Tabelle'!$A$7:$L$18,11)</f>
        <v>66242.88</v>
      </c>
      <c r="K17" s="20">
        <f>VLOOKUP(I17,'E13 - Tabelle'!$A$7:$L$18,12)</f>
        <v>35826.83</v>
      </c>
      <c r="L17" s="28">
        <f t="shared" si="1"/>
        <v>-1985.4199999999983</v>
      </c>
      <c r="M17" s="32">
        <f t="shared" si="12"/>
        <v>-53384.999999999985</v>
      </c>
      <c r="N17" s="8">
        <v>11</v>
      </c>
      <c r="O17" s="8">
        <v>37</v>
      </c>
      <c r="P17" s="47"/>
      <c r="Q17" s="47"/>
      <c r="R17" s="76"/>
      <c r="S17" s="221"/>
      <c r="T17" s="228"/>
      <c r="U17" s="229">
        <f t="shared" si="2"/>
        <v>279.22499999999997</v>
      </c>
      <c r="V17" s="229">
        <f t="shared" si="2"/>
        <v>37.29375</v>
      </c>
      <c r="W17" s="229">
        <f t="shared" si="3"/>
        <v>82.8036</v>
      </c>
      <c r="X17" s="229">
        <f t="shared" si="3"/>
        <v>540.9835200000001</v>
      </c>
      <c r="Y17" s="229">
        <f t="shared" si="3"/>
        <v>356.05548000000005</v>
      </c>
      <c r="Z17" s="230">
        <f t="shared" si="7"/>
        <v>1296.3613500000001</v>
      </c>
      <c r="AA17" s="230">
        <f t="shared" si="4"/>
        <v>5520.240000000001</v>
      </c>
      <c r="AB17" s="231">
        <f t="shared" si="8"/>
        <v>6816.601350000001</v>
      </c>
      <c r="AC17" s="232"/>
      <c r="AD17" s="245">
        <f t="shared" si="9"/>
        <v>2985.5691666666667</v>
      </c>
      <c r="AE17" s="246">
        <f t="shared" si="5"/>
        <v>3831.032183333334</v>
      </c>
      <c r="AF17" s="232"/>
      <c r="AG17" s="251">
        <f t="shared" si="6"/>
        <v>313.65000000000003</v>
      </c>
      <c r="AH17" s="251">
        <f t="shared" si="6"/>
        <v>37.29375</v>
      </c>
      <c r="AI17" s="229">
        <f t="shared" si="10"/>
        <v>82.8036</v>
      </c>
      <c r="AJ17" s="229">
        <f t="shared" si="10"/>
        <v>540.9835200000001</v>
      </c>
      <c r="AK17" s="229">
        <f t="shared" si="10"/>
        <v>77.835384</v>
      </c>
      <c r="AL17" s="255">
        <f t="shared" si="11"/>
        <v>1052.566254</v>
      </c>
    </row>
    <row r="18" spans="1:38" ht="11.25" customHeight="1">
      <c r="A18" s="8">
        <v>12</v>
      </c>
      <c r="B18" s="8">
        <v>38</v>
      </c>
      <c r="C18" s="8"/>
      <c r="D18" s="16">
        <v>5</v>
      </c>
      <c r="E18" s="17">
        <f>VLOOKUP(D18,'A13 - Tabelle'!$A$6:$F$13,6)</f>
        <v>56257.68000000001</v>
      </c>
      <c r="F18" s="17">
        <f>VLOOKUP(D18,'A13 - Tabelle'!$A$6:$G$13,7)</f>
        <v>41572.08</v>
      </c>
      <c r="G18" s="18">
        <f t="shared" si="0"/>
        <v>39052.08</v>
      </c>
      <c r="H18" s="19"/>
      <c r="I18" s="16">
        <v>5</v>
      </c>
      <c r="J18" s="17">
        <f>VLOOKUP(I18,'E13 - Tabelle'!$A$7:$L$18,11)</f>
        <v>66242.88</v>
      </c>
      <c r="K18" s="20">
        <f>VLOOKUP(I18,'E13 - Tabelle'!$A$7:$L$18,12)</f>
        <v>35826.83</v>
      </c>
      <c r="L18" s="28">
        <f t="shared" si="1"/>
        <v>-3225.25</v>
      </c>
      <c r="M18" s="32">
        <f t="shared" si="12"/>
        <v>-56610.249999999985</v>
      </c>
      <c r="N18" s="8">
        <v>12</v>
      </c>
      <c r="O18" s="8">
        <v>38</v>
      </c>
      <c r="P18" s="47"/>
      <c r="Q18" s="47"/>
      <c r="R18" s="76"/>
      <c r="S18" s="221"/>
      <c r="T18" s="228"/>
      <c r="U18" s="229">
        <f t="shared" si="2"/>
        <v>279.22499999999997</v>
      </c>
      <c r="V18" s="229">
        <f t="shared" si="2"/>
        <v>37.29375</v>
      </c>
      <c r="W18" s="229">
        <f t="shared" si="3"/>
        <v>82.8036</v>
      </c>
      <c r="X18" s="229">
        <f t="shared" si="3"/>
        <v>540.9835200000001</v>
      </c>
      <c r="Y18" s="229">
        <f t="shared" si="3"/>
        <v>356.05548000000005</v>
      </c>
      <c r="Z18" s="230">
        <f t="shared" si="7"/>
        <v>1296.3613500000001</v>
      </c>
      <c r="AA18" s="230">
        <f t="shared" si="4"/>
        <v>5520.240000000001</v>
      </c>
      <c r="AB18" s="231">
        <f t="shared" si="8"/>
        <v>6816.601350000001</v>
      </c>
      <c r="AC18" s="232"/>
      <c r="AD18" s="245">
        <f t="shared" si="9"/>
        <v>2985.5691666666667</v>
      </c>
      <c r="AE18" s="246">
        <f t="shared" si="5"/>
        <v>3831.032183333334</v>
      </c>
      <c r="AF18" s="232"/>
      <c r="AG18" s="251">
        <f t="shared" si="6"/>
        <v>313.65000000000003</v>
      </c>
      <c r="AH18" s="251">
        <f t="shared" si="6"/>
        <v>37.29375</v>
      </c>
      <c r="AI18" s="229">
        <f t="shared" si="10"/>
        <v>82.8036</v>
      </c>
      <c r="AJ18" s="229">
        <f t="shared" si="10"/>
        <v>540.9835200000001</v>
      </c>
      <c r="AK18" s="229">
        <f t="shared" si="10"/>
        <v>77.835384</v>
      </c>
      <c r="AL18" s="255">
        <f t="shared" si="11"/>
        <v>1052.566254</v>
      </c>
    </row>
    <row r="19" spans="1:38" ht="11.25" customHeight="1">
      <c r="A19" s="8">
        <v>13</v>
      </c>
      <c r="B19" s="8">
        <v>39</v>
      </c>
      <c r="C19" s="8"/>
      <c r="D19" s="16">
        <v>5</v>
      </c>
      <c r="E19" s="17">
        <f>VLOOKUP(D19,'A13 - Tabelle'!$A$6:$F$13,6)</f>
        <v>56257.68000000001</v>
      </c>
      <c r="F19" s="17">
        <f>VLOOKUP(D19,'A13 - Tabelle'!$A$6:$G$13,7)</f>
        <v>41572.08</v>
      </c>
      <c r="G19" s="18">
        <f t="shared" si="0"/>
        <v>39052.08</v>
      </c>
      <c r="H19" s="19"/>
      <c r="I19" s="16">
        <v>5</v>
      </c>
      <c r="J19" s="17">
        <f>VLOOKUP(I19,'E13 - Tabelle'!$A$7:$L$18,11)</f>
        <v>66242.88</v>
      </c>
      <c r="K19" s="20">
        <f>VLOOKUP(I19,'E13 - Tabelle'!$A$7:$L$18,12)</f>
        <v>35826.83</v>
      </c>
      <c r="L19" s="28">
        <f t="shared" si="1"/>
        <v>-3225.25</v>
      </c>
      <c r="M19" s="32">
        <f t="shared" si="12"/>
        <v>-59835.499999999985</v>
      </c>
      <c r="N19" s="8">
        <v>13</v>
      </c>
      <c r="O19" s="8">
        <v>39</v>
      </c>
      <c r="P19" s="47"/>
      <c r="Q19" s="47"/>
      <c r="R19" s="76"/>
      <c r="S19" s="221"/>
      <c r="T19" s="228"/>
      <c r="U19" s="229">
        <f t="shared" si="2"/>
        <v>279.22499999999997</v>
      </c>
      <c r="V19" s="229">
        <f t="shared" si="2"/>
        <v>37.29375</v>
      </c>
      <c r="W19" s="229">
        <f t="shared" si="3"/>
        <v>82.8036</v>
      </c>
      <c r="X19" s="229">
        <f t="shared" si="3"/>
        <v>540.9835200000001</v>
      </c>
      <c r="Y19" s="229">
        <f t="shared" si="3"/>
        <v>356.05548000000005</v>
      </c>
      <c r="Z19" s="230">
        <f t="shared" si="7"/>
        <v>1296.3613500000001</v>
      </c>
      <c r="AA19" s="230">
        <f t="shared" si="4"/>
        <v>5520.240000000001</v>
      </c>
      <c r="AB19" s="231">
        <f t="shared" si="8"/>
        <v>6816.601350000001</v>
      </c>
      <c r="AC19" s="232"/>
      <c r="AD19" s="245">
        <f t="shared" si="9"/>
        <v>2985.5691666666667</v>
      </c>
      <c r="AE19" s="246">
        <f t="shared" si="5"/>
        <v>3831.032183333334</v>
      </c>
      <c r="AF19" s="232"/>
      <c r="AG19" s="251">
        <f t="shared" si="6"/>
        <v>313.65000000000003</v>
      </c>
      <c r="AH19" s="251">
        <f t="shared" si="6"/>
        <v>37.29375</v>
      </c>
      <c r="AI19" s="229">
        <f t="shared" si="10"/>
        <v>82.8036</v>
      </c>
      <c r="AJ19" s="229">
        <f t="shared" si="10"/>
        <v>540.9835200000001</v>
      </c>
      <c r="AK19" s="229">
        <f t="shared" si="10"/>
        <v>77.835384</v>
      </c>
      <c r="AL19" s="255">
        <f t="shared" si="11"/>
        <v>1052.566254</v>
      </c>
    </row>
    <row r="20" spans="1:38" ht="11.25" customHeight="1">
      <c r="A20" s="8">
        <v>14</v>
      </c>
      <c r="B20" s="8">
        <v>40</v>
      </c>
      <c r="C20" s="8"/>
      <c r="D20" s="16">
        <v>5</v>
      </c>
      <c r="E20" s="17">
        <f>VLOOKUP(D20,'A13 - Tabelle'!$A$6:$F$13,6)</f>
        <v>56257.68000000001</v>
      </c>
      <c r="F20" s="17">
        <f>VLOOKUP(D20,'A13 - Tabelle'!$A$6:$G$13,7)</f>
        <v>41572.08</v>
      </c>
      <c r="G20" s="18">
        <f t="shared" si="0"/>
        <v>39052.08</v>
      </c>
      <c r="H20" s="19"/>
      <c r="I20" s="16">
        <v>5</v>
      </c>
      <c r="J20" s="17">
        <f>VLOOKUP(I20,'E13 - Tabelle'!$A$7:$L$18,11)</f>
        <v>66242.88</v>
      </c>
      <c r="K20" s="20">
        <f>VLOOKUP(I20,'E13 - Tabelle'!$A$7:$L$18,12)</f>
        <v>35826.83</v>
      </c>
      <c r="L20" s="28">
        <f t="shared" si="1"/>
        <v>-3225.25</v>
      </c>
      <c r="M20" s="32">
        <f t="shared" si="12"/>
        <v>-63060.749999999985</v>
      </c>
      <c r="N20" s="8">
        <v>14</v>
      </c>
      <c r="O20" s="8">
        <v>40</v>
      </c>
      <c r="P20" s="47"/>
      <c r="Q20" s="47"/>
      <c r="R20" s="76"/>
      <c r="S20" s="221"/>
      <c r="T20" s="228"/>
      <c r="U20" s="229">
        <f t="shared" si="2"/>
        <v>279.22499999999997</v>
      </c>
      <c r="V20" s="229">
        <f t="shared" si="2"/>
        <v>37.29375</v>
      </c>
      <c r="W20" s="229">
        <f t="shared" si="3"/>
        <v>82.8036</v>
      </c>
      <c r="X20" s="229">
        <f t="shared" si="3"/>
        <v>540.9835200000001</v>
      </c>
      <c r="Y20" s="229">
        <f t="shared" si="3"/>
        <v>356.05548000000005</v>
      </c>
      <c r="Z20" s="230">
        <f t="shared" si="7"/>
        <v>1296.3613500000001</v>
      </c>
      <c r="AA20" s="230">
        <f t="shared" si="4"/>
        <v>5520.240000000001</v>
      </c>
      <c r="AB20" s="231">
        <f t="shared" si="8"/>
        <v>6816.601350000001</v>
      </c>
      <c r="AC20" s="232"/>
      <c r="AD20" s="245">
        <f t="shared" si="9"/>
        <v>2985.5691666666667</v>
      </c>
      <c r="AE20" s="246">
        <f t="shared" si="5"/>
        <v>3831.032183333334</v>
      </c>
      <c r="AF20" s="232"/>
      <c r="AG20" s="251">
        <f t="shared" si="6"/>
        <v>313.65000000000003</v>
      </c>
      <c r="AH20" s="251">
        <f t="shared" si="6"/>
        <v>37.29375</v>
      </c>
      <c r="AI20" s="229">
        <f t="shared" si="10"/>
        <v>82.8036</v>
      </c>
      <c r="AJ20" s="229">
        <f t="shared" si="10"/>
        <v>540.9835200000001</v>
      </c>
      <c r="AK20" s="229">
        <f t="shared" si="10"/>
        <v>77.835384</v>
      </c>
      <c r="AL20" s="255">
        <f t="shared" si="11"/>
        <v>1052.566254</v>
      </c>
    </row>
    <row r="21" spans="1:38" ht="11.25" customHeight="1">
      <c r="A21" s="8">
        <v>15</v>
      </c>
      <c r="B21" s="8">
        <v>41</v>
      </c>
      <c r="C21" s="8"/>
      <c r="D21" s="16">
        <v>5</v>
      </c>
      <c r="E21" s="17">
        <f>VLOOKUP(D21,'A13 - Tabelle'!$A$6:$F$13,6)</f>
        <v>56257.68000000001</v>
      </c>
      <c r="F21" s="17">
        <f>VLOOKUP(D21,'A13 - Tabelle'!$A$6:$G$13,7)</f>
        <v>41572.08</v>
      </c>
      <c r="G21" s="18">
        <f t="shared" si="0"/>
        <v>39052.08</v>
      </c>
      <c r="H21" s="19"/>
      <c r="I21" s="16">
        <v>5</v>
      </c>
      <c r="J21" s="17">
        <f>VLOOKUP(I21,'E13 - Tabelle'!$A$7:$L$18,11)</f>
        <v>66242.88</v>
      </c>
      <c r="K21" s="20">
        <f>VLOOKUP(I21,'E13 - Tabelle'!$A$7:$L$18,12)</f>
        <v>35826.83</v>
      </c>
      <c r="L21" s="28">
        <f t="shared" si="1"/>
        <v>-3225.25</v>
      </c>
      <c r="M21" s="32">
        <f t="shared" si="12"/>
        <v>-66285.99999999999</v>
      </c>
      <c r="N21" s="8">
        <v>15</v>
      </c>
      <c r="O21" s="8">
        <v>41</v>
      </c>
      <c r="P21" s="47"/>
      <c r="Q21" s="47"/>
      <c r="R21" s="76"/>
      <c r="S21" s="221"/>
      <c r="T21" s="228"/>
      <c r="U21" s="229">
        <f t="shared" si="2"/>
        <v>279.22499999999997</v>
      </c>
      <c r="V21" s="229">
        <f t="shared" si="2"/>
        <v>37.29375</v>
      </c>
      <c r="W21" s="229">
        <f t="shared" si="3"/>
        <v>82.8036</v>
      </c>
      <c r="X21" s="229">
        <f t="shared" si="3"/>
        <v>540.9835200000001</v>
      </c>
      <c r="Y21" s="229">
        <f t="shared" si="3"/>
        <v>356.05548000000005</v>
      </c>
      <c r="Z21" s="230">
        <f t="shared" si="7"/>
        <v>1296.3613500000001</v>
      </c>
      <c r="AA21" s="230">
        <f t="shared" si="4"/>
        <v>5520.240000000001</v>
      </c>
      <c r="AB21" s="231">
        <f t="shared" si="8"/>
        <v>6816.601350000001</v>
      </c>
      <c r="AC21" s="232"/>
      <c r="AD21" s="245">
        <f t="shared" si="9"/>
        <v>2985.5691666666667</v>
      </c>
      <c r="AE21" s="246">
        <f t="shared" si="5"/>
        <v>3831.032183333334</v>
      </c>
      <c r="AF21" s="232"/>
      <c r="AG21" s="251">
        <f t="shared" si="6"/>
        <v>313.65000000000003</v>
      </c>
      <c r="AH21" s="251">
        <f t="shared" si="6"/>
        <v>37.29375</v>
      </c>
      <c r="AI21" s="229">
        <f t="shared" si="10"/>
        <v>82.8036</v>
      </c>
      <c r="AJ21" s="229">
        <f t="shared" si="10"/>
        <v>540.9835200000001</v>
      </c>
      <c r="AK21" s="229">
        <f t="shared" si="10"/>
        <v>77.835384</v>
      </c>
      <c r="AL21" s="255">
        <f t="shared" si="11"/>
        <v>1052.566254</v>
      </c>
    </row>
    <row r="22" spans="1:38" ht="11.25" customHeight="1">
      <c r="A22" s="8">
        <v>16</v>
      </c>
      <c r="B22" s="8">
        <v>42</v>
      </c>
      <c r="C22" s="8"/>
      <c r="D22" s="16">
        <v>6</v>
      </c>
      <c r="E22" s="17">
        <f>VLOOKUP(D22,'A13 - Tabelle'!$A$6:$F$13,6)</f>
        <v>57295.799999999996</v>
      </c>
      <c r="F22" s="17">
        <f>VLOOKUP(D22,'A13 - Tabelle'!$A$6:$G$13,7)</f>
        <v>42151.28</v>
      </c>
      <c r="G22" s="18">
        <f t="shared" si="0"/>
        <v>39631.28</v>
      </c>
      <c r="H22" s="19"/>
      <c r="I22" s="16">
        <v>5</v>
      </c>
      <c r="J22" s="17">
        <f>VLOOKUP(I22,'E13 - Tabelle'!$A$7:$L$18,11)</f>
        <v>66242.88</v>
      </c>
      <c r="K22" s="20">
        <f>VLOOKUP(I22,'E13 - Tabelle'!$A$7:$L$18,12)</f>
        <v>35826.83</v>
      </c>
      <c r="L22" s="28">
        <f t="shared" si="1"/>
        <v>-3804.449999999997</v>
      </c>
      <c r="M22" s="32">
        <f t="shared" si="12"/>
        <v>-70090.44999999998</v>
      </c>
      <c r="N22" s="8">
        <v>16</v>
      </c>
      <c r="O22" s="8">
        <v>42</v>
      </c>
      <c r="P22" s="47"/>
      <c r="Q22" s="47"/>
      <c r="R22" s="76"/>
      <c r="S22" s="221"/>
      <c r="T22" s="228"/>
      <c r="U22" s="229">
        <f t="shared" si="2"/>
        <v>279.22499999999997</v>
      </c>
      <c r="V22" s="229">
        <f t="shared" si="2"/>
        <v>37.29375</v>
      </c>
      <c r="W22" s="229">
        <f t="shared" si="3"/>
        <v>82.8036</v>
      </c>
      <c r="X22" s="229">
        <f t="shared" si="3"/>
        <v>540.9835200000001</v>
      </c>
      <c r="Y22" s="229">
        <f t="shared" si="3"/>
        <v>356.05548000000005</v>
      </c>
      <c r="Z22" s="230">
        <f t="shared" si="7"/>
        <v>1296.3613500000001</v>
      </c>
      <c r="AA22" s="230">
        <f t="shared" si="4"/>
        <v>5520.240000000001</v>
      </c>
      <c r="AB22" s="231">
        <f t="shared" si="8"/>
        <v>6816.601350000001</v>
      </c>
      <c r="AC22" s="232"/>
      <c r="AD22" s="245">
        <f t="shared" si="9"/>
        <v>2985.5691666666667</v>
      </c>
      <c r="AE22" s="246">
        <f t="shared" si="5"/>
        <v>3831.032183333334</v>
      </c>
      <c r="AF22" s="232"/>
      <c r="AG22" s="251">
        <f t="shared" si="6"/>
        <v>313.65000000000003</v>
      </c>
      <c r="AH22" s="251">
        <f t="shared" si="6"/>
        <v>37.29375</v>
      </c>
      <c r="AI22" s="229">
        <f t="shared" si="10"/>
        <v>82.8036</v>
      </c>
      <c r="AJ22" s="229">
        <f t="shared" si="10"/>
        <v>540.9835200000001</v>
      </c>
      <c r="AK22" s="229">
        <f t="shared" si="10"/>
        <v>77.835384</v>
      </c>
      <c r="AL22" s="255">
        <f t="shared" si="11"/>
        <v>1052.566254</v>
      </c>
    </row>
    <row r="23" spans="1:38" ht="11.25" customHeight="1">
      <c r="A23" s="8">
        <v>17</v>
      </c>
      <c r="B23" s="8">
        <v>43</v>
      </c>
      <c r="C23" s="8"/>
      <c r="D23" s="16">
        <v>6</v>
      </c>
      <c r="E23" s="17">
        <f>VLOOKUP(D23,'A13 - Tabelle'!$A$6:$F$13,6)</f>
        <v>57295.799999999996</v>
      </c>
      <c r="F23" s="17">
        <f>VLOOKUP(D23,'A13 - Tabelle'!$A$6:$G$13,7)</f>
        <v>42151.28</v>
      </c>
      <c r="G23" s="18">
        <f t="shared" si="0"/>
        <v>39631.28</v>
      </c>
      <c r="H23" s="19"/>
      <c r="I23" s="16">
        <v>5</v>
      </c>
      <c r="J23" s="17">
        <f>VLOOKUP(I23,'E13 - Tabelle'!$A$7:$L$18,11)</f>
        <v>66242.88</v>
      </c>
      <c r="K23" s="20">
        <f>VLOOKUP(I23,'E13 - Tabelle'!$A$7:$L$18,12)</f>
        <v>35826.83</v>
      </c>
      <c r="L23" s="28">
        <f t="shared" si="1"/>
        <v>-3804.449999999997</v>
      </c>
      <c r="M23" s="32">
        <f t="shared" si="12"/>
        <v>-73894.89999999998</v>
      </c>
      <c r="N23" s="8">
        <v>17</v>
      </c>
      <c r="O23" s="8">
        <v>43</v>
      </c>
      <c r="P23" s="47"/>
      <c r="Q23" s="47"/>
      <c r="R23" s="76"/>
      <c r="S23" s="221"/>
      <c r="T23" s="228"/>
      <c r="U23" s="229">
        <f t="shared" si="2"/>
        <v>279.22499999999997</v>
      </c>
      <c r="V23" s="229">
        <f t="shared" si="2"/>
        <v>37.29375</v>
      </c>
      <c r="W23" s="229">
        <f t="shared" si="3"/>
        <v>82.8036</v>
      </c>
      <c r="X23" s="229">
        <f t="shared" si="3"/>
        <v>540.9835200000001</v>
      </c>
      <c r="Y23" s="229">
        <f t="shared" si="3"/>
        <v>356.05548000000005</v>
      </c>
      <c r="Z23" s="230">
        <f t="shared" si="7"/>
        <v>1296.3613500000001</v>
      </c>
      <c r="AA23" s="230">
        <f t="shared" si="4"/>
        <v>5520.240000000001</v>
      </c>
      <c r="AB23" s="231">
        <f t="shared" si="8"/>
        <v>6816.601350000001</v>
      </c>
      <c r="AC23" s="232"/>
      <c r="AD23" s="245">
        <f t="shared" si="9"/>
        <v>2985.5691666666667</v>
      </c>
      <c r="AE23" s="246">
        <f t="shared" si="5"/>
        <v>3831.032183333334</v>
      </c>
      <c r="AF23" s="232"/>
      <c r="AG23" s="251">
        <f t="shared" si="6"/>
        <v>313.65000000000003</v>
      </c>
      <c r="AH23" s="251">
        <f t="shared" si="6"/>
        <v>37.29375</v>
      </c>
      <c r="AI23" s="229">
        <f t="shared" si="10"/>
        <v>82.8036</v>
      </c>
      <c r="AJ23" s="229">
        <f t="shared" si="10"/>
        <v>540.9835200000001</v>
      </c>
      <c r="AK23" s="229">
        <f t="shared" si="10"/>
        <v>77.835384</v>
      </c>
      <c r="AL23" s="255">
        <f t="shared" si="11"/>
        <v>1052.566254</v>
      </c>
    </row>
    <row r="24" spans="1:38" ht="11.25" customHeight="1">
      <c r="A24" s="8">
        <v>18</v>
      </c>
      <c r="B24" s="8">
        <v>44</v>
      </c>
      <c r="C24" s="8"/>
      <c r="D24" s="16">
        <v>6</v>
      </c>
      <c r="E24" s="17">
        <f>VLOOKUP(D24,'A13 - Tabelle'!$A$6:$F$13,6)</f>
        <v>57295.799999999996</v>
      </c>
      <c r="F24" s="17">
        <f>VLOOKUP(D24,'A13 - Tabelle'!$A$6:$G$13,7)</f>
        <v>42151.28</v>
      </c>
      <c r="G24" s="18">
        <f t="shared" si="0"/>
        <v>39631.28</v>
      </c>
      <c r="H24" s="19"/>
      <c r="I24" s="16">
        <v>5</v>
      </c>
      <c r="J24" s="17">
        <f>VLOOKUP(I24,'E13 - Tabelle'!$A$7:$L$18,11)</f>
        <v>66242.88</v>
      </c>
      <c r="K24" s="20">
        <f>VLOOKUP(I24,'E13 - Tabelle'!$A$7:$L$18,12)</f>
        <v>35826.83</v>
      </c>
      <c r="L24" s="28">
        <f t="shared" si="1"/>
        <v>-3804.449999999997</v>
      </c>
      <c r="M24" s="32">
        <f t="shared" si="12"/>
        <v>-77699.34999999998</v>
      </c>
      <c r="N24" s="8">
        <v>18</v>
      </c>
      <c r="O24" s="8">
        <v>44</v>
      </c>
      <c r="P24" s="47"/>
      <c r="Q24" s="47"/>
      <c r="R24" s="76"/>
      <c r="S24" s="221"/>
      <c r="T24" s="228"/>
      <c r="U24" s="229">
        <f t="shared" si="2"/>
        <v>279.22499999999997</v>
      </c>
      <c r="V24" s="229">
        <f t="shared" si="2"/>
        <v>37.29375</v>
      </c>
      <c r="W24" s="229">
        <f t="shared" si="3"/>
        <v>82.8036</v>
      </c>
      <c r="X24" s="229">
        <f t="shared" si="3"/>
        <v>540.9835200000001</v>
      </c>
      <c r="Y24" s="229">
        <f t="shared" si="3"/>
        <v>356.05548000000005</v>
      </c>
      <c r="Z24" s="230">
        <f t="shared" si="7"/>
        <v>1296.3613500000001</v>
      </c>
      <c r="AA24" s="230">
        <f t="shared" si="4"/>
        <v>5520.240000000001</v>
      </c>
      <c r="AB24" s="231">
        <f t="shared" si="8"/>
        <v>6816.601350000001</v>
      </c>
      <c r="AC24" s="232"/>
      <c r="AD24" s="245">
        <f t="shared" si="9"/>
        <v>2985.5691666666667</v>
      </c>
      <c r="AE24" s="246">
        <f t="shared" si="5"/>
        <v>3831.032183333334</v>
      </c>
      <c r="AF24" s="232"/>
      <c r="AG24" s="251">
        <f t="shared" si="6"/>
        <v>313.65000000000003</v>
      </c>
      <c r="AH24" s="251">
        <f t="shared" si="6"/>
        <v>37.29375</v>
      </c>
      <c r="AI24" s="229">
        <f t="shared" si="10"/>
        <v>82.8036</v>
      </c>
      <c r="AJ24" s="229">
        <f t="shared" si="10"/>
        <v>540.9835200000001</v>
      </c>
      <c r="AK24" s="229">
        <f t="shared" si="10"/>
        <v>77.835384</v>
      </c>
      <c r="AL24" s="255">
        <f t="shared" si="11"/>
        <v>1052.566254</v>
      </c>
    </row>
    <row r="25" spans="1:38" ht="11.25" customHeight="1">
      <c r="A25" s="8">
        <v>19</v>
      </c>
      <c r="B25" s="8">
        <v>45</v>
      </c>
      <c r="C25" s="8"/>
      <c r="D25" s="16">
        <v>6</v>
      </c>
      <c r="E25" s="17">
        <f>VLOOKUP(D25,'A13 - Tabelle'!$A$6:$F$13,6)</f>
        <v>57295.799999999996</v>
      </c>
      <c r="F25" s="17">
        <f>VLOOKUP(D25,'A13 - Tabelle'!$A$6:$G$13,7)</f>
        <v>42151.28</v>
      </c>
      <c r="G25" s="18">
        <f t="shared" si="0"/>
        <v>39631.28</v>
      </c>
      <c r="H25" s="19"/>
      <c r="I25" s="16">
        <v>5</v>
      </c>
      <c r="J25" s="17">
        <f>VLOOKUP(I25,'E13 - Tabelle'!$A$7:$L$18,11)</f>
        <v>66242.88</v>
      </c>
      <c r="K25" s="20">
        <f>VLOOKUP(I25,'E13 - Tabelle'!$A$7:$L$18,12)</f>
        <v>35826.83</v>
      </c>
      <c r="L25" s="28">
        <f t="shared" si="1"/>
        <v>-3804.449999999997</v>
      </c>
      <c r="M25" s="32">
        <f t="shared" si="12"/>
        <v>-81503.79999999997</v>
      </c>
      <c r="N25" s="8">
        <v>19</v>
      </c>
      <c r="O25" s="8">
        <v>45</v>
      </c>
      <c r="P25" s="47"/>
      <c r="Q25" s="47"/>
      <c r="R25" s="76"/>
      <c r="S25" s="221"/>
      <c r="T25" s="228"/>
      <c r="U25" s="229">
        <f t="shared" si="2"/>
        <v>279.22499999999997</v>
      </c>
      <c r="V25" s="229">
        <f t="shared" si="2"/>
        <v>37.29375</v>
      </c>
      <c r="W25" s="229">
        <f t="shared" si="3"/>
        <v>82.8036</v>
      </c>
      <c r="X25" s="229">
        <f t="shared" si="3"/>
        <v>540.9835200000001</v>
      </c>
      <c r="Y25" s="229">
        <f t="shared" si="3"/>
        <v>356.05548000000005</v>
      </c>
      <c r="Z25" s="230">
        <f t="shared" si="7"/>
        <v>1296.3613500000001</v>
      </c>
      <c r="AA25" s="230">
        <f t="shared" si="4"/>
        <v>5520.240000000001</v>
      </c>
      <c r="AB25" s="231">
        <f t="shared" si="8"/>
        <v>6816.601350000001</v>
      </c>
      <c r="AC25" s="232"/>
      <c r="AD25" s="245">
        <f t="shared" si="9"/>
        <v>2985.5691666666667</v>
      </c>
      <c r="AE25" s="246">
        <f t="shared" si="5"/>
        <v>3831.032183333334</v>
      </c>
      <c r="AF25" s="232"/>
      <c r="AG25" s="251">
        <f t="shared" si="6"/>
        <v>313.65000000000003</v>
      </c>
      <c r="AH25" s="251">
        <f t="shared" si="6"/>
        <v>37.29375</v>
      </c>
      <c r="AI25" s="229">
        <f t="shared" si="10"/>
        <v>82.8036</v>
      </c>
      <c r="AJ25" s="229">
        <f t="shared" si="10"/>
        <v>540.9835200000001</v>
      </c>
      <c r="AK25" s="229">
        <f t="shared" si="10"/>
        <v>77.835384</v>
      </c>
      <c r="AL25" s="255">
        <f t="shared" si="11"/>
        <v>1052.566254</v>
      </c>
    </row>
    <row r="26" spans="1:38" ht="11.25" customHeight="1">
      <c r="A26" s="8">
        <v>20</v>
      </c>
      <c r="B26" s="8">
        <v>46</v>
      </c>
      <c r="C26" s="8"/>
      <c r="D26" s="16">
        <v>7</v>
      </c>
      <c r="E26" s="17">
        <f>VLOOKUP(D26,'A13 - Tabelle'!$A$6:$F$13,6)</f>
        <v>59487.12</v>
      </c>
      <c r="F26" s="17">
        <f>VLOOKUP(D26,'A13 - Tabelle'!$A$6:$G$13,7)</f>
        <v>43372</v>
      </c>
      <c r="G26" s="18">
        <f t="shared" si="0"/>
        <v>40852</v>
      </c>
      <c r="H26" s="19"/>
      <c r="I26" s="16">
        <v>5</v>
      </c>
      <c r="J26" s="17">
        <f>VLOOKUP(I26,'E13 - Tabelle'!$A$7:$L$18,11)</f>
        <v>66242.88</v>
      </c>
      <c r="K26" s="20">
        <f>VLOOKUP(I26,'E13 - Tabelle'!$A$7:$L$18,12)</f>
        <v>35826.83</v>
      </c>
      <c r="L26" s="28">
        <f t="shared" si="1"/>
        <v>-5025.169999999998</v>
      </c>
      <c r="M26" s="32">
        <f t="shared" si="12"/>
        <v>-86528.96999999997</v>
      </c>
      <c r="N26" s="8">
        <v>20</v>
      </c>
      <c r="O26" s="8">
        <v>46</v>
      </c>
      <c r="P26" s="47"/>
      <c r="Q26" s="47"/>
      <c r="R26" s="76"/>
      <c r="S26" s="221"/>
      <c r="T26" s="228"/>
      <c r="U26" s="229">
        <f t="shared" si="2"/>
        <v>279.22499999999997</v>
      </c>
      <c r="V26" s="229">
        <f t="shared" si="2"/>
        <v>37.29375</v>
      </c>
      <c r="W26" s="229">
        <f t="shared" si="3"/>
        <v>82.8036</v>
      </c>
      <c r="X26" s="229">
        <f t="shared" si="3"/>
        <v>540.9835200000001</v>
      </c>
      <c r="Y26" s="229">
        <f t="shared" si="3"/>
        <v>356.05548000000005</v>
      </c>
      <c r="Z26" s="230">
        <f t="shared" si="7"/>
        <v>1296.3613500000001</v>
      </c>
      <c r="AA26" s="230">
        <f t="shared" si="4"/>
        <v>5520.240000000001</v>
      </c>
      <c r="AB26" s="231">
        <f t="shared" si="8"/>
        <v>6816.601350000001</v>
      </c>
      <c r="AC26" s="232"/>
      <c r="AD26" s="245">
        <f t="shared" si="9"/>
        <v>2985.5691666666667</v>
      </c>
      <c r="AE26" s="246">
        <f t="shared" si="5"/>
        <v>3831.032183333334</v>
      </c>
      <c r="AF26" s="232"/>
      <c r="AG26" s="251">
        <f t="shared" si="6"/>
        <v>313.65000000000003</v>
      </c>
      <c r="AH26" s="251">
        <f t="shared" si="6"/>
        <v>37.29375</v>
      </c>
      <c r="AI26" s="229">
        <f t="shared" si="10"/>
        <v>82.8036</v>
      </c>
      <c r="AJ26" s="229">
        <f t="shared" si="10"/>
        <v>540.9835200000001</v>
      </c>
      <c r="AK26" s="229">
        <f t="shared" si="10"/>
        <v>77.835384</v>
      </c>
      <c r="AL26" s="255">
        <f t="shared" si="11"/>
        <v>1052.566254</v>
      </c>
    </row>
    <row r="27" spans="1:38" ht="11.25" customHeight="1">
      <c r="A27" s="8">
        <v>21</v>
      </c>
      <c r="B27" s="8">
        <v>47</v>
      </c>
      <c r="C27" s="8"/>
      <c r="D27" s="16">
        <v>7</v>
      </c>
      <c r="E27" s="17">
        <f>VLOOKUP(D27,'A13 - Tabelle'!$A$6:$F$13,6)</f>
        <v>59487.12</v>
      </c>
      <c r="F27" s="17">
        <f>VLOOKUP(D27,'A13 - Tabelle'!$A$6:$G$13,7)</f>
        <v>43372</v>
      </c>
      <c r="G27" s="18">
        <f t="shared" si="0"/>
        <v>40852</v>
      </c>
      <c r="H27" s="19"/>
      <c r="I27" s="16">
        <v>5</v>
      </c>
      <c r="J27" s="17">
        <f>VLOOKUP(I27,'E13 - Tabelle'!$A$7:$L$18,11)</f>
        <v>66242.88</v>
      </c>
      <c r="K27" s="20">
        <f>VLOOKUP(I27,'E13 - Tabelle'!$A$7:$L$18,12)</f>
        <v>35826.83</v>
      </c>
      <c r="L27" s="28">
        <f t="shared" si="1"/>
        <v>-5025.169999999998</v>
      </c>
      <c r="M27" s="32">
        <f t="shared" si="12"/>
        <v>-91554.13999999997</v>
      </c>
      <c r="N27" s="8">
        <v>21</v>
      </c>
      <c r="O27" s="8">
        <v>47</v>
      </c>
      <c r="P27" s="49"/>
      <c r="Q27" s="49"/>
      <c r="R27" s="76"/>
      <c r="S27" s="221"/>
      <c r="T27" s="228"/>
      <c r="U27" s="229">
        <f aca="true" t="shared" si="13" ref="U27:V46">IF(($J27&lt;$AB$1),$J27/12*U$5,$AB$1/12*U$5)</f>
        <v>279.22499999999997</v>
      </c>
      <c r="V27" s="229">
        <f t="shared" si="13"/>
        <v>37.29375</v>
      </c>
      <c r="W27" s="229">
        <f aca="true" t="shared" si="14" ref="W27:Y46">$J27/12*W$5</f>
        <v>82.8036</v>
      </c>
      <c r="X27" s="229">
        <f t="shared" si="14"/>
        <v>540.9835200000001</v>
      </c>
      <c r="Y27" s="229">
        <f t="shared" si="14"/>
        <v>356.05548000000005</v>
      </c>
      <c r="Z27" s="230">
        <f t="shared" si="7"/>
        <v>1296.3613500000001</v>
      </c>
      <c r="AA27" s="230">
        <f t="shared" si="4"/>
        <v>5520.240000000001</v>
      </c>
      <c r="AB27" s="231">
        <f t="shared" si="8"/>
        <v>6816.601350000001</v>
      </c>
      <c r="AC27" s="232"/>
      <c r="AD27" s="245">
        <f t="shared" si="9"/>
        <v>2985.5691666666667</v>
      </c>
      <c r="AE27" s="246">
        <f t="shared" si="5"/>
        <v>3831.032183333334</v>
      </c>
      <c r="AF27" s="232"/>
      <c r="AG27" s="251">
        <f aca="true" t="shared" si="15" ref="AG27:AH46">IF(($J27&lt;$AB$1),$J27/12*AG$5,$AB$1/12*AG$5)</f>
        <v>313.65000000000003</v>
      </c>
      <c r="AH27" s="251">
        <f t="shared" si="15"/>
        <v>37.29375</v>
      </c>
      <c r="AI27" s="229">
        <f t="shared" si="10"/>
        <v>82.8036</v>
      </c>
      <c r="AJ27" s="229">
        <f t="shared" si="10"/>
        <v>540.9835200000001</v>
      </c>
      <c r="AK27" s="229">
        <f t="shared" si="10"/>
        <v>77.835384</v>
      </c>
      <c r="AL27" s="255">
        <f t="shared" si="11"/>
        <v>1052.566254</v>
      </c>
    </row>
    <row r="28" spans="1:38" ht="11.25" customHeight="1">
      <c r="A28" s="8">
        <v>22</v>
      </c>
      <c r="B28" s="8">
        <v>48</v>
      </c>
      <c r="C28" s="8"/>
      <c r="D28" s="16">
        <v>7</v>
      </c>
      <c r="E28" s="17">
        <f>VLOOKUP(D28,'A13 - Tabelle'!$A$6:$F$13,6)</f>
        <v>59487.12</v>
      </c>
      <c r="F28" s="17">
        <f>VLOOKUP(D28,'A13 - Tabelle'!$A$6:$G$13,7)</f>
        <v>43372</v>
      </c>
      <c r="G28" s="18">
        <f t="shared" si="0"/>
        <v>40852</v>
      </c>
      <c r="H28" s="19"/>
      <c r="I28" s="16">
        <v>5</v>
      </c>
      <c r="J28" s="17">
        <f>VLOOKUP(I28,'E13 - Tabelle'!$A$7:$L$18,11)</f>
        <v>66242.88</v>
      </c>
      <c r="K28" s="20">
        <f>VLOOKUP(I28,'E13 - Tabelle'!$A$7:$L$18,12)</f>
        <v>35826.83</v>
      </c>
      <c r="L28" s="28">
        <f t="shared" si="1"/>
        <v>-5025.169999999998</v>
      </c>
      <c r="M28" s="32">
        <f t="shared" si="12"/>
        <v>-96579.30999999997</v>
      </c>
      <c r="N28" s="8">
        <v>22</v>
      </c>
      <c r="O28" s="8">
        <v>48</v>
      </c>
      <c r="P28" s="47"/>
      <c r="Q28" s="47"/>
      <c r="R28" s="76"/>
      <c r="S28" s="221"/>
      <c r="T28" s="228"/>
      <c r="U28" s="229">
        <f t="shared" si="13"/>
        <v>279.22499999999997</v>
      </c>
      <c r="V28" s="229">
        <f t="shared" si="13"/>
        <v>37.29375</v>
      </c>
      <c r="W28" s="229">
        <f t="shared" si="14"/>
        <v>82.8036</v>
      </c>
      <c r="X28" s="229">
        <f t="shared" si="14"/>
        <v>540.9835200000001</v>
      </c>
      <c r="Y28" s="229">
        <f t="shared" si="14"/>
        <v>356.05548000000005</v>
      </c>
      <c r="Z28" s="230">
        <f t="shared" si="7"/>
        <v>1296.3613500000001</v>
      </c>
      <c r="AA28" s="230">
        <f t="shared" si="4"/>
        <v>5520.240000000001</v>
      </c>
      <c r="AB28" s="231">
        <f t="shared" si="8"/>
        <v>6816.601350000001</v>
      </c>
      <c r="AC28" s="232"/>
      <c r="AD28" s="245">
        <f t="shared" si="9"/>
        <v>2985.5691666666667</v>
      </c>
      <c r="AE28" s="246">
        <f t="shared" si="5"/>
        <v>3831.032183333334</v>
      </c>
      <c r="AF28" s="232"/>
      <c r="AG28" s="251">
        <f t="shared" si="15"/>
        <v>313.65000000000003</v>
      </c>
      <c r="AH28" s="251">
        <f t="shared" si="15"/>
        <v>37.29375</v>
      </c>
      <c r="AI28" s="229">
        <f t="shared" si="10"/>
        <v>82.8036</v>
      </c>
      <c r="AJ28" s="229">
        <f t="shared" si="10"/>
        <v>540.9835200000001</v>
      </c>
      <c r="AK28" s="229">
        <f t="shared" si="10"/>
        <v>77.835384</v>
      </c>
      <c r="AL28" s="255">
        <f t="shared" si="11"/>
        <v>1052.566254</v>
      </c>
    </row>
    <row r="29" spans="1:38" ht="11.25" customHeight="1">
      <c r="A29" s="8">
        <v>23</v>
      </c>
      <c r="B29" s="8">
        <v>49</v>
      </c>
      <c r="C29" s="8"/>
      <c r="D29" s="16">
        <v>7</v>
      </c>
      <c r="E29" s="17">
        <f>VLOOKUP(D29,'A13 - Tabelle'!$A$6:$F$13,6)</f>
        <v>59487.12</v>
      </c>
      <c r="F29" s="17">
        <f>VLOOKUP(D29,'A13 - Tabelle'!$A$6:$G$13,7)</f>
        <v>43372</v>
      </c>
      <c r="G29" s="18">
        <f t="shared" si="0"/>
        <v>40852</v>
      </c>
      <c r="H29" s="19"/>
      <c r="I29" s="16">
        <v>5</v>
      </c>
      <c r="J29" s="17">
        <f>VLOOKUP(I29,'E13 - Tabelle'!$A$7:$L$18,11)</f>
        <v>66242.88</v>
      </c>
      <c r="K29" s="20">
        <f>VLOOKUP(I29,'E13 - Tabelle'!$A$7:$L$18,12)</f>
        <v>35826.83</v>
      </c>
      <c r="L29" s="28">
        <f t="shared" si="1"/>
        <v>-5025.169999999998</v>
      </c>
      <c r="M29" s="32">
        <f t="shared" si="12"/>
        <v>-101604.47999999997</v>
      </c>
      <c r="N29" s="8">
        <v>23</v>
      </c>
      <c r="O29" s="8">
        <v>49</v>
      </c>
      <c r="P29" s="47"/>
      <c r="Q29" s="47"/>
      <c r="R29" s="76"/>
      <c r="S29" s="221"/>
      <c r="T29" s="228"/>
      <c r="U29" s="229">
        <f t="shared" si="13"/>
        <v>279.22499999999997</v>
      </c>
      <c r="V29" s="229">
        <f t="shared" si="13"/>
        <v>37.29375</v>
      </c>
      <c r="W29" s="229">
        <f t="shared" si="14"/>
        <v>82.8036</v>
      </c>
      <c r="X29" s="229">
        <f t="shared" si="14"/>
        <v>540.9835200000001</v>
      </c>
      <c r="Y29" s="229">
        <f t="shared" si="14"/>
        <v>356.05548000000005</v>
      </c>
      <c r="Z29" s="230">
        <f t="shared" si="7"/>
        <v>1296.3613500000001</v>
      </c>
      <c r="AA29" s="230">
        <f t="shared" si="4"/>
        <v>5520.240000000001</v>
      </c>
      <c r="AB29" s="231">
        <f t="shared" si="8"/>
        <v>6816.601350000001</v>
      </c>
      <c r="AC29" s="232"/>
      <c r="AD29" s="245">
        <f t="shared" si="9"/>
        <v>2985.5691666666667</v>
      </c>
      <c r="AE29" s="246">
        <f t="shared" si="5"/>
        <v>3831.032183333334</v>
      </c>
      <c r="AF29" s="232"/>
      <c r="AG29" s="251">
        <f t="shared" si="15"/>
        <v>313.65000000000003</v>
      </c>
      <c r="AH29" s="251">
        <f t="shared" si="15"/>
        <v>37.29375</v>
      </c>
      <c r="AI29" s="229">
        <f t="shared" si="10"/>
        <v>82.8036</v>
      </c>
      <c r="AJ29" s="229">
        <f t="shared" si="10"/>
        <v>540.9835200000001</v>
      </c>
      <c r="AK29" s="229">
        <f t="shared" si="10"/>
        <v>77.835384</v>
      </c>
      <c r="AL29" s="255">
        <f t="shared" si="11"/>
        <v>1052.566254</v>
      </c>
    </row>
    <row r="30" spans="1:38" ht="11.25" customHeight="1">
      <c r="A30" s="8">
        <v>24</v>
      </c>
      <c r="B30" s="8">
        <v>50</v>
      </c>
      <c r="C30" s="8"/>
      <c r="D30" s="16">
        <v>8</v>
      </c>
      <c r="E30" s="17">
        <f>VLOOKUP(D30,'A13 - Tabelle'!$A$6:$F$13,6)</f>
        <v>60640.31999999999</v>
      </c>
      <c r="F30" s="17">
        <f>VLOOKUP(D30,'A13 - Tabelle'!$A$6:$G$13,7)</f>
        <v>44013.52</v>
      </c>
      <c r="G30" s="18">
        <f t="shared" si="0"/>
        <v>41493.52</v>
      </c>
      <c r="H30" s="19"/>
      <c r="I30" s="16">
        <v>5</v>
      </c>
      <c r="J30" s="17">
        <f>VLOOKUP(I30,'E13 - Tabelle'!$A$7:$L$18,11)</f>
        <v>66242.88</v>
      </c>
      <c r="K30" s="20">
        <f>VLOOKUP(I30,'E13 - Tabelle'!$A$7:$L$18,12)</f>
        <v>35826.83</v>
      </c>
      <c r="L30" s="28">
        <f t="shared" si="1"/>
        <v>-5666.689999999995</v>
      </c>
      <c r="M30" s="32">
        <f t="shared" si="12"/>
        <v>-107271.16999999995</v>
      </c>
      <c r="N30" s="8">
        <v>24</v>
      </c>
      <c r="O30" s="8">
        <v>50</v>
      </c>
      <c r="P30" s="47"/>
      <c r="Q30" s="47"/>
      <c r="R30" s="76"/>
      <c r="S30" s="221"/>
      <c r="T30" s="228"/>
      <c r="U30" s="229">
        <f t="shared" si="13"/>
        <v>279.22499999999997</v>
      </c>
      <c r="V30" s="229">
        <f t="shared" si="13"/>
        <v>37.29375</v>
      </c>
      <c r="W30" s="229">
        <f t="shared" si="14"/>
        <v>82.8036</v>
      </c>
      <c r="X30" s="229">
        <f t="shared" si="14"/>
        <v>540.9835200000001</v>
      </c>
      <c r="Y30" s="229">
        <f t="shared" si="14"/>
        <v>356.05548000000005</v>
      </c>
      <c r="Z30" s="230">
        <f t="shared" si="7"/>
        <v>1296.3613500000001</v>
      </c>
      <c r="AA30" s="230">
        <f t="shared" si="4"/>
        <v>5520.240000000001</v>
      </c>
      <c r="AB30" s="231">
        <f t="shared" si="8"/>
        <v>6816.601350000001</v>
      </c>
      <c r="AC30" s="232"/>
      <c r="AD30" s="245">
        <f t="shared" si="9"/>
        <v>2985.5691666666667</v>
      </c>
      <c r="AE30" s="246">
        <f t="shared" si="5"/>
        <v>3831.032183333334</v>
      </c>
      <c r="AF30" s="232"/>
      <c r="AG30" s="251">
        <f t="shared" si="15"/>
        <v>313.65000000000003</v>
      </c>
      <c r="AH30" s="251">
        <f t="shared" si="15"/>
        <v>37.29375</v>
      </c>
      <c r="AI30" s="229">
        <f t="shared" si="10"/>
        <v>82.8036</v>
      </c>
      <c r="AJ30" s="229">
        <f t="shared" si="10"/>
        <v>540.9835200000001</v>
      </c>
      <c r="AK30" s="229">
        <f t="shared" si="10"/>
        <v>77.835384</v>
      </c>
      <c r="AL30" s="255">
        <f t="shared" si="11"/>
        <v>1052.566254</v>
      </c>
    </row>
    <row r="31" spans="1:38" ht="11.25" customHeight="1">
      <c r="A31" s="8">
        <v>25</v>
      </c>
      <c r="B31" s="8">
        <v>51</v>
      </c>
      <c r="C31" s="8"/>
      <c r="D31" s="16">
        <v>8</v>
      </c>
      <c r="E31" s="17">
        <f>VLOOKUP(D31,'A13 - Tabelle'!$A$6:$F$13,6)</f>
        <v>60640.31999999999</v>
      </c>
      <c r="F31" s="17">
        <f>VLOOKUP(D31,'A13 - Tabelle'!$A$6:$G$13,7)</f>
        <v>44013.52</v>
      </c>
      <c r="G31" s="18">
        <f t="shared" si="0"/>
        <v>41493.52</v>
      </c>
      <c r="H31" s="19"/>
      <c r="I31" s="16">
        <v>5</v>
      </c>
      <c r="J31" s="17">
        <f>VLOOKUP(I31,'E13 - Tabelle'!$A$7:$L$18,11)</f>
        <v>66242.88</v>
      </c>
      <c r="K31" s="20">
        <f>VLOOKUP(I31,'E13 - Tabelle'!$A$7:$L$18,12)</f>
        <v>35826.83</v>
      </c>
      <c r="L31" s="28">
        <f t="shared" si="1"/>
        <v>-5666.689999999995</v>
      </c>
      <c r="M31" s="32">
        <f t="shared" si="12"/>
        <v>-112937.85999999996</v>
      </c>
      <c r="N31" s="8">
        <v>25</v>
      </c>
      <c r="O31" s="8">
        <v>51</v>
      </c>
      <c r="P31" s="47"/>
      <c r="Q31" s="47"/>
      <c r="R31" s="76"/>
      <c r="S31" s="221"/>
      <c r="T31" s="228"/>
      <c r="U31" s="229">
        <f t="shared" si="13"/>
        <v>279.22499999999997</v>
      </c>
      <c r="V31" s="229">
        <f t="shared" si="13"/>
        <v>37.29375</v>
      </c>
      <c r="W31" s="229">
        <f t="shared" si="14"/>
        <v>82.8036</v>
      </c>
      <c r="X31" s="229">
        <f t="shared" si="14"/>
        <v>540.9835200000001</v>
      </c>
      <c r="Y31" s="229">
        <f t="shared" si="14"/>
        <v>356.05548000000005</v>
      </c>
      <c r="Z31" s="230">
        <f t="shared" si="7"/>
        <v>1296.3613500000001</v>
      </c>
      <c r="AA31" s="230">
        <f t="shared" si="4"/>
        <v>5520.240000000001</v>
      </c>
      <c r="AB31" s="231">
        <f t="shared" si="8"/>
        <v>6816.601350000001</v>
      </c>
      <c r="AC31" s="232"/>
      <c r="AD31" s="245">
        <f t="shared" si="9"/>
        <v>2985.5691666666667</v>
      </c>
      <c r="AE31" s="246">
        <f t="shared" si="5"/>
        <v>3831.032183333334</v>
      </c>
      <c r="AF31" s="232"/>
      <c r="AG31" s="251">
        <f t="shared" si="15"/>
        <v>313.65000000000003</v>
      </c>
      <c r="AH31" s="251">
        <f t="shared" si="15"/>
        <v>37.29375</v>
      </c>
      <c r="AI31" s="229">
        <f t="shared" si="10"/>
        <v>82.8036</v>
      </c>
      <c r="AJ31" s="229">
        <f t="shared" si="10"/>
        <v>540.9835200000001</v>
      </c>
      <c r="AK31" s="229">
        <f t="shared" si="10"/>
        <v>77.835384</v>
      </c>
      <c r="AL31" s="255">
        <f t="shared" si="11"/>
        <v>1052.566254</v>
      </c>
    </row>
    <row r="32" spans="1:38" ht="11.25" customHeight="1">
      <c r="A32" s="8">
        <v>26</v>
      </c>
      <c r="B32" s="8">
        <v>52</v>
      </c>
      <c r="C32" s="8"/>
      <c r="D32" s="16">
        <v>8</v>
      </c>
      <c r="E32" s="17">
        <f>VLOOKUP(D32,'A13 - Tabelle'!$A$6:$F$13,6)</f>
        <v>60640.31999999999</v>
      </c>
      <c r="F32" s="17">
        <f>VLOOKUP(D32,'A13 - Tabelle'!$A$6:$G$13,7)</f>
        <v>44013.52</v>
      </c>
      <c r="G32" s="18">
        <f t="shared" si="0"/>
        <v>41493.52</v>
      </c>
      <c r="H32" s="19"/>
      <c r="I32" s="16">
        <v>5</v>
      </c>
      <c r="J32" s="17">
        <f>VLOOKUP(I32,'E13 - Tabelle'!$A$7:$L$18,11)</f>
        <v>66242.88</v>
      </c>
      <c r="K32" s="20">
        <f>VLOOKUP(I32,'E13 - Tabelle'!$A$7:$L$18,12)</f>
        <v>35826.83</v>
      </c>
      <c r="L32" s="28">
        <f t="shared" si="1"/>
        <v>-5666.689999999995</v>
      </c>
      <c r="M32" s="32">
        <f t="shared" si="12"/>
        <v>-118604.54999999996</v>
      </c>
      <c r="N32" s="8">
        <v>26</v>
      </c>
      <c r="O32" s="8">
        <v>52</v>
      </c>
      <c r="P32" s="47"/>
      <c r="Q32" s="47"/>
      <c r="R32" s="76"/>
      <c r="S32" s="221"/>
      <c r="T32" s="228"/>
      <c r="U32" s="229">
        <f t="shared" si="13"/>
        <v>279.22499999999997</v>
      </c>
      <c r="V32" s="229">
        <f t="shared" si="13"/>
        <v>37.29375</v>
      </c>
      <c r="W32" s="229">
        <f t="shared" si="14"/>
        <v>82.8036</v>
      </c>
      <c r="X32" s="229">
        <f t="shared" si="14"/>
        <v>540.9835200000001</v>
      </c>
      <c r="Y32" s="229">
        <f t="shared" si="14"/>
        <v>356.05548000000005</v>
      </c>
      <c r="Z32" s="230">
        <f t="shared" si="7"/>
        <v>1296.3613500000001</v>
      </c>
      <c r="AA32" s="230">
        <f t="shared" si="4"/>
        <v>5520.240000000001</v>
      </c>
      <c r="AB32" s="231">
        <f t="shared" si="8"/>
        <v>6816.601350000001</v>
      </c>
      <c r="AC32" s="232"/>
      <c r="AD32" s="245">
        <f t="shared" si="9"/>
        <v>2985.5691666666667</v>
      </c>
      <c r="AE32" s="246">
        <f t="shared" si="5"/>
        <v>3831.032183333334</v>
      </c>
      <c r="AF32" s="232"/>
      <c r="AG32" s="251">
        <f t="shared" si="15"/>
        <v>313.65000000000003</v>
      </c>
      <c r="AH32" s="251">
        <f t="shared" si="15"/>
        <v>37.29375</v>
      </c>
      <c r="AI32" s="229">
        <f t="shared" si="10"/>
        <v>82.8036</v>
      </c>
      <c r="AJ32" s="229">
        <f t="shared" si="10"/>
        <v>540.9835200000001</v>
      </c>
      <c r="AK32" s="229">
        <f t="shared" si="10"/>
        <v>77.835384</v>
      </c>
      <c r="AL32" s="255">
        <f t="shared" si="11"/>
        <v>1052.566254</v>
      </c>
    </row>
    <row r="33" spans="1:38" ht="11.25" customHeight="1">
      <c r="A33" s="8">
        <v>27</v>
      </c>
      <c r="B33" s="8">
        <v>53</v>
      </c>
      <c r="C33" s="8"/>
      <c r="D33" s="16">
        <v>8</v>
      </c>
      <c r="E33" s="17">
        <f>VLOOKUP(D33,'A13 - Tabelle'!$A$6:$F$13,6)</f>
        <v>60640.31999999999</v>
      </c>
      <c r="F33" s="17">
        <f>VLOOKUP(D33,'A13 - Tabelle'!$A$6:$G$13,7)</f>
        <v>44013.52</v>
      </c>
      <c r="G33" s="18">
        <f t="shared" si="0"/>
        <v>41493.52</v>
      </c>
      <c r="H33" s="19"/>
      <c r="I33" s="16">
        <v>5</v>
      </c>
      <c r="J33" s="17">
        <f>VLOOKUP(I33,'E13 - Tabelle'!$A$7:$L$18,11)</f>
        <v>66242.88</v>
      </c>
      <c r="K33" s="20">
        <f>VLOOKUP(I33,'E13 - Tabelle'!$A$7:$L$18,12)</f>
        <v>35826.83</v>
      </c>
      <c r="L33" s="28">
        <f t="shared" si="1"/>
        <v>-5666.689999999995</v>
      </c>
      <c r="M33" s="32">
        <f t="shared" si="12"/>
        <v>-124271.23999999996</v>
      </c>
      <c r="N33" s="8">
        <v>27</v>
      </c>
      <c r="O33" s="8">
        <v>53</v>
      </c>
      <c r="P33" s="47"/>
      <c r="Q33" s="47"/>
      <c r="R33" s="76"/>
      <c r="S33" s="221"/>
      <c r="T33" s="228"/>
      <c r="U33" s="229">
        <f t="shared" si="13"/>
        <v>279.22499999999997</v>
      </c>
      <c r="V33" s="229">
        <f t="shared" si="13"/>
        <v>37.29375</v>
      </c>
      <c r="W33" s="229">
        <f t="shared" si="14"/>
        <v>82.8036</v>
      </c>
      <c r="X33" s="229">
        <f t="shared" si="14"/>
        <v>540.9835200000001</v>
      </c>
      <c r="Y33" s="229">
        <f t="shared" si="14"/>
        <v>356.05548000000005</v>
      </c>
      <c r="Z33" s="230">
        <f t="shared" si="7"/>
        <v>1296.3613500000001</v>
      </c>
      <c r="AA33" s="230">
        <f t="shared" si="4"/>
        <v>5520.240000000001</v>
      </c>
      <c r="AB33" s="231">
        <f t="shared" si="8"/>
        <v>6816.601350000001</v>
      </c>
      <c r="AC33" s="232"/>
      <c r="AD33" s="245">
        <f t="shared" si="9"/>
        <v>2985.5691666666667</v>
      </c>
      <c r="AE33" s="246">
        <f t="shared" si="5"/>
        <v>3831.032183333334</v>
      </c>
      <c r="AF33" s="232"/>
      <c r="AG33" s="251">
        <f t="shared" si="15"/>
        <v>313.65000000000003</v>
      </c>
      <c r="AH33" s="251">
        <f t="shared" si="15"/>
        <v>37.29375</v>
      </c>
      <c r="AI33" s="229">
        <f t="shared" si="10"/>
        <v>82.8036</v>
      </c>
      <c r="AJ33" s="229">
        <f t="shared" si="10"/>
        <v>540.9835200000001</v>
      </c>
      <c r="AK33" s="229">
        <f t="shared" si="10"/>
        <v>77.835384</v>
      </c>
      <c r="AL33" s="255">
        <f t="shared" si="11"/>
        <v>1052.566254</v>
      </c>
    </row>
    <row r="34" spans="1:38" ht="11.25" customHeight="1">
      <c r="A34" s="8">
        <v>28</v>
      </c>
      <c r="B34" s="8">
        <v>54</v>
      </c>
      <c r="C34" s="8"/>
      <c r="D34" s="16">
        <v>8</v>
      </c>
      <c r="E34" s="17">
        <f>VLOOKUP(D34,'A13 - Tabelle'!$A$6:$F$13,6)</f>
        <v>60640.31999999999</v>
      </c>
      <c r="F34" s="17">
        <f>VLOOKUP(D34,'A13 - Tabelle'!$A$6:$G$13,7)</f>
        <v>44013.52</v>
      </c>
      <c r="G34" s="18">
        <f t="shared" si="0"/>
        <v>41493.52</v>
      </c>
      <c r="H34" s="19"/>
      <c r="I34" s="16">
        <v>5</v>
      </c>
      <c r="J34" s="17">
        <f>VLOOKUP(I34,'E13 - Tabelle'!$A$7:$L$18,11)</f>
        <v>66242.88</v>
      </c>
      <c r="K34" s="20">
        <f>VLOOKUP(I34,'E13 - Tabelle'!$A$7:$L$18,12)</f>
        <v>35826.83</v>
      </c>
      <c r="L34" s="28">
        <f t="shared" si="1"/>
        <v>-5666.689999999995</v>
      </c>
      <c r="M34" s="32">
        <f t="shared" si="12"/>
        <v>-129937.92999999996</v>
      </c>
      <c r="N34" s="8">
        <v>28</v>
      </c>
      <c r="O34" s="8">
        <v>54</v>
      </c>
      <c r="P34" s="47"/>
      <c r="Q34" s="47"/>
      <c r="R34" s="76"/>
      <c r="S34" s="221"/>
      <c r="T34" s="228"/>
      <c r="U34" s="229">
        <f t="shared" si="13"/>
        <v>279.22499999999997</v>
      </c>
      <c r="V34" s="229">
        <f t="shared" si="13"/>
        <v>37.29375</v>
      </c>
      <c r="W34" s="229">
        <f t="shared" si="14"/>
        <v>82.8036</v>
      </c>
      <c r="X34" s="229">
        <f t="shared" si="14"/>
        <v>540.9835200000001</v>
      </c>
      <c r="Y34" s="229">
        <f t="shared" si="14"/>
        <v>356.05548000000005</v>
      </c>
      <c r="Z34" s="230">
        <f t="shared" si="7"/>
        <v>1296.3613500000001</v>
      </c>
      <c r="AA34" s="230">
        <f t="shared" si="4"/>
        <v>5520.240000000001</v>
      </c>
      <c r="AB34" s="231">
        <f t="shared" si="8"/>
        <v>6816.601350000001</v>
      </c>
      <c r="AC34" s="232"/>
      <c r="AD34" s="245">
        <f t="shared" si="9"/>
        <v>2985.5691666666667</v>
      </c>
      <c r="AE34" s="246">
        <f t="shared" si="5"/>
        <v>3831.032183333334</v>
      </c>
      <c r="AF34" s="232"/>
      <c r="AG34" s="251">
        <f t="shared" si="15"/>
        <v>313.65000000000003</v>
      </c>
      <c r="AH34" s="251">
        <f t="shared" si="15"/>
        <v>37.29375</v>
      </c>
      <c r="AI34" s="229">
        <f t="shared" si="10"/>
        <v>82.8036</v>
      </c>
      <c r="AJ34" s="229">
        <f t="shared" si="10"/>
        <v>540.9835200000001</v>
      </c>
      <c r="AK34" s="229">
        <f t="shared" si="10"/>
        <v>77.835384</v>
      </c>
      <c r="AL34" s="255">
        <f t="shared" si="11"/>
        <v>1052.566254</v>
      </c>
    </row>
    <row r="35" spans="1:41" ht="11.25" customHeight="1">
      <c r="A35" s="8">
        <v>29</v>
      </c>
      <c r="B35" s="8">
        <v>55</v>
      </c>
      <c r="C35" s="8"/>
      <c r="D35" s="16">
        <v>8</v>
      </c>
      <c r="E35" s="17">
        <f>VLOOKUP(D35,'A13 - Tabelle'!$A$6:$F$13,6)</f>
        <v>60640.31999999999</v>
      </c>
      <c r="F35" s="17">
        <f>VLOOKUP(D35,'A13 - Tabelle'!$A$6:$G$13,7)</f>
        <v>44013.52</v>
      </c>
      <c r="G35" s="18">
        <f t="shared" si="0"/>
        <v>41493.52</v>
      </c>
      <c r="H35" s="19"/>
      <c r="I35" s="16">
        <v>5</v>
      </c>
      <c r="J35" s="17">
        <f>VLOOKUP(I35,'E13 - Tabelle'!$A$7:$L$18,11)</f>
        <v>66242.88</v>
      </c>
      <c r="K35" s="20">
        <f>VLOOKUP(I35,'E13 - Tabelle'!$A$7:$L$18,12)</f>
        <v>35826.83</v>
      </c>
      <c r="L35" s="28">
        <f t="shared" si="1"/>
        <v>-5666.689999999995</v>
      </c>
      <c r="M35" s="32">
        <f t="shared" si="12"/>
        <v>-135604.61999999997</v>
      </c>
      <c r="N35" s="8">
        <v>29</v>
      </c>
      <c r="O35" s="8">
        <v>55</v>
      </c>
      <c r="P35" s="47"/>
      <c r="Q35" s="47"/>
      <c r="R35" s="76"/>
      <c r="S35" s="221"/>
      <c r="T35" s="228"/>
      <c r="U35" s="229">
        <f t="shared" si="13"/>
        <v>279.22499999999997</v>
      </c>
      <c r="V35" s="229">
        <f t="shared" si="13"/>
        <v>37.29375</v>
      </c>
      <c r="W35" s="229">
        <f t="shared" si="14"/>
        <v>82.8036</v>
      </c>
      <c r="X35" s="229">
        <f t="shared" si="14"/>
        <v>540.9835200000001</v>
      </c>
      <c r="Y35" s="229">
        <f t="shared" si="14"/>
        <v>356.05548000000005</v>
      </c>
      <c r="Z35" s="230">
        <f t="shared" si="7"/>
        <v>1296.3613500000001</v>
      </c>
      <c r="AA35" s="230">
        <f t="shared" si="4"/>
        <v>5520.240000000001</v>
      </c>
      <c r="AB35" s="231">
        <f t="shared" si="8"/>
        <v>6816.601350000001</v>
      </c>
      <c r="AC35" s="232"/>
      <c r="AD35" s="245">
        <f t="shared" si="9"/>
        <v>2985.5691666666667</v>
      </c>
      <c r="AE35" s="246">
        <f t="shared" si="5"/>
        <v>3831.032183333334</v>
      </c>
      <c r="AF35" s="232"/>
      <c r="AG35" s="251">
        <f t="shared" si="15"/>
        <v>313.65000000000003</v>
      </c>
      <c r="AH35" s="251">
        <f t="shared" si="15"/>
        <v>37.29375</v>
      </c>
      <c r="AI35" s="229">
        <f t="shared" si="10"/>
        <v>82.8036</v>
      </c>
      <c r="AJ35" s="229">
        <f t="shared" si="10"/>
        <v>540.9835200000001</v>
      </c>
      <c r="AK35" s="229">
        <f t="shared" si="10"/>
        <v>77.835384</v>
      </c>
      <c r="AL35" s="255">
        <f t="shared" si="11"/>
        <v>1052.566254</v>
      </c>
      <c r="AN35" s="265">
        <f>AG5*AB1/12+U5*AB1/12</f>
        <v>592.875</v>
      </c>
      <c r="AO35">
        <f>AN35/2</f>
        <v>296.4375</v>
      </c>
    </row>
    <row r="36" spans="1:38" ht="11.25" customHeight="1">
      <c r="A36" s="8">
        <v>30</v>
      </c>
      <c r="B36" s="8">
        <v>56</v>
      </c>
      <c r="C36" s="8"/>
      <c r="D36" s="16">
        <v>8</v>
      </c>
      <c r="E36" s="17">
        <f>VLOOKUP(D36,'A13 - Tabelle'!$A$6:$F$13,6)</f>
        <v>60640.31999999999</v>
      </c>
      <c r="F36" s="17">
        <f>VLOOKUP(D36,'A13 - Tabelle'!$A$6:$G$13,7)</f>
        <v>44013.52</v>
      </c>
      <c r="G36" s="18">
        <f t="shared" si="0"/>
        <v>41493.52</v>
      </c>
      <c r="H36" s="19"/>
      <c r="I36" s="16">
        <v>5</v>
      </c>
      <c r="J36" s="17">
        <f>VLOOKUP(I36,'E13 - Tabelle'!$A$7:$L$18,11)</f>
        <v>66242.88</v>
      </c>
      <c r="K36" s="20">
        <f>VLOOKUP(I36,'E13 - Tabelle'!$A$7:$L$18,12)</f>
        <v>35826.83</v>
      </c>
      <c r="L36" s="28">
        <f t="shared" si="1"/>
        <v>-5666.689999999995</v>
      </c>
      <c r="M36" s="32">
        <f t="shared" si="12"/>
        <v>-141271.30999999997</v>
      </c>
      <c r="N36" s="8">
        <v>30</v>
      </c>
      <c r="O36" s="8">
        <v>56</v>
      </c>
      <c r="P36" s="47"/>
      <c r="Q36" s="47"/>
      <c r="R36" s="76"/>
      <c r="S36" s="221"/>
      <c r="T36" s="228"/>
      <c r="U36" s="229">
        <f t="shared" si="13"/>
        <v>279.22499999999997</v>
      </c>
      <c r="V36" s="229">
        <f t="shared" si="13"/>
        <v>37.29375</v>
      </c>
      <c r="W36" s="229">
        <f t="shared" si="14"/>
        <v>82.8036</v>
      </c>
      <c r="X36" s="229">
        <f t="shared" si="14"/>
        <v>540.9835200000001</v>
      </c>
      <c r="Y36" s="229">
        <f t="shared" si="14"/>
        <v>356.05548000000005</v>
      </c>
      <c r="Z36" s="230">
        <f t="shared" si="7"/>
        <v>1296.3613500000001</v>
      </c>
      <c r="AA36" s="230">
        <f t="shared" si="4"/>
        <v>5520.240000000001</v>
      </c>
      <c r="AB36" s="231">
        <f t="shared" si="8"/>
        <v>6816.601350000001</v>
      </c>
      <c r="AC36" s="232"/>
      <c r="AD36" s="245">
        <f t="shared" si="9"/>
        <v>2985.5691666666667</v>
      </c>
      <c r="AE36" s="246">
        <f t="shared" si="5"/>
        <v>3831.032183333334</v>
      </c>
      <c r="AF36" s="232"/>
      <c r="AG36" s="251">
        <f t="shared" si="15"/>
        <v>313.65000000000003</v>
      </c>
      <c r="AH36" s="251">
        <f t="shared" si="15"/>
        <v>37.29375</v>
      </c>
      <c r="AI36" s="229">
        <f t="shared" si="10"/>
        <v>82.8036</v>
      </c>
      <c r="AJ36" s="229">
        <f t="shared" si="10"/>
        <v>540.9835200000001</v>
      </c>
      <c r="AK36" s="229">
        <f t="shared" si="10"/>
        <v>77.835384</v>
      </c>
      <c r="AL36" s="255">
        <f t="shared" si="11"/>
        <v>1052.566254</v>
      </c>
    </row>
    <row r="37" spans="1:38" ht="11.25" customHeight="1">
      <c r="A37" s="8">
        <v>31</v>
      </c>
      <c r="B37" s="8">
        <v>57</v>
      </c>
      <c r="C37" s="8"/>
      <c r="D37" s="16">
        <v>8</v>
      </c>
      <c r="E37" s="17">
        <f>VLOOKUP(D37,'A13 - Tabelle'!$A$6:$F$13,6)</f>
        <v>60640.31999999999</v>
      </c>
      <c r="F37" s="17">
        <f>VLOOKUP(D37,'A13 - Tabelle'!$A$6:$G$13,7)</f>
        <v>44013.52</v>
      </c>
      <c r="G37" s="18">
        <f t="shared" si="0"/>
        <v>41493.52</v>
      </c>
      <c r="H37" s="19"/>
      <c r="I37" s="16">
        <v>5</v>
      </c>
      <c r="J37" s="17">
        <f>VLOOKUP(I37,'E13 - Tabelle'!$A$7:$L$18,11)</f>
        <v>66242.88</v>
      </c>
      <c r="K37" s="20">
        <f>VLOOKUP(I37,'E13 - Tabelle'!$A$7:$L$18,12)</f>
        <v>35826.83</v>
      </c>
      <c r="L37" s="28">
        <f t="shared" si="1"/>
        <v>-5666.689999999995</v>
      </c>
      <c r="M37" s="32">
        <f t="shared" si="12"/>
        <v>-146937.99999999997</v>
      </c>
      <c r="N37" s="8">
        <v>31</v>
      </c>
      <c r="O37" s="8">
        <v>57</v>
      </c>
      <c r="P37" s="47"/>
      <c r="Q37" s="47"/>
      <c r="R37" s="76"/>
      <c r="S37" s="221"/>
      <c r="T37" s="228"/>
      <c r="U37" s="229">
        <f t="shared" si="13"/>
        <v>279.22499999999997</v>
      </c>
      <c r="V37" s="229">
        <f t="shared" si="13"/>
        <v>37.29375</v>
      </c>
      <c r="W37" s="229">
        <f t="shared" si="14"/>
        <v>82.8036</v>
      </c>
      <c r="X37" s="229">
        <f t="shared" si="14"/>
        <v>540.9835200000001</v>
      </c>
      <c r="Y37" s="229">
        <f t="shared" si="14"/>
        <v>356.05548000000005</v>
      </c>
      <c r="Z37" s="230">
        <f t="shared" si="7"/>
        <v>1296.3613500000001</v>
      </c>
      <c r="AA37" s="230">
        <f t="shared" si="4"/>
        <v>5520.240000000001</v>
      </c>
      <c r="AB37" s="231">
        <f t="shared" si="8"/>
        <v>6816.601350000001</v>
      </c>
      <c r="AC37" s="232"/>
      <c r="AD37" s="245">
        <f t="shared" si="9"/>
        <v>2985.5691666666667</v>
      </c>
      <c r="AE37" s="246">
        <f t="shared" si="5"/>
        <v>3831.032183333334</v>
      </c>
      <c r="AF37" s="232"/>
      <c r="AG37" s="251">
        <f t="shared" si="15"/>
        <v>313.65000000000003</v>
      </c>
      <c r="AH37" s="251">
        <f t="shared" si="15"/>
        <v>37.29375</v>
      </c>
      <c r="AI37" s="229">
        <f t="shared" si="10"/>
        <v>82.8036</v>
      </c>
      <c r="AJ37" s="229">
        <f t="shared" si="10"/>
        <v>540.9835200000001</v>
      </c>
      <c r="AK37" s="229">
        <f t="shared" si="10"/>
        <v>77.835384</v>
      </c>
      <c r="AL37" s="255">
        <f t="shared" si="11"/>
        <v>1052.566254</v>
      </c>
    </row>
    <row r="38" spans="1:38" ht="11.25" customHeight="1">
      <c r="A38" s="8">
        <v>32</v>
      </c>
      <c r="B38" s="8">
        <v>58</v>
      </c>
      <c r="C38" s="8"/>
      <c r="D38" s="16">
        <v>8</v>
      </c>
      <c r="E38" s="17">
        <f>VLOOKUP(D38,'A13 - Tabelle'!$A$6:$F$13,6)</f>
        <v>60640.31999999999</v>
      </c>
      <c r="F38" s="17">
        <f>VLOOKUP(D38,'A13 - Tabelle'!$A$6:$G$13,7)</f>
        <v>44013.52</v>
      </c>
      <c r="G38" s="18">
        <f t="shared" si="0"/>
        <v>41493.52</v>
      </c>
      <c r="H38" s="19"/>
      <c r="I38" s="16">
        <v>5</v>
      </c>
      <c r="J38" s="17">
        <f>VLOOKUP(I38,'E13 - Tabelle'!$A$7:$L$18,11)</f>
        <v>66242.88</v>
      </c>
      <c r="K38" s="20">
        <f>VLOOKUP(I38,'E13 - Tabelle'!$A$7:$L$18,12)</f>
        <v>35826.83</v>
      </c>
      <c r="L38" s="28">
        <f t="shared" si="1"/>
        <v>-5666.689999999995</v>
      </c>
      <c r="M38" s="32">
        <f t="shared" si="12"/>
        <v>-152604.68999999997</v>
      </c>
      <c r="N38" s="8">
        <v>32</v>
      </c>
      <c r="O38" s="8">
        <v>58</v>
      </c>
      <c r="P38" s="47"/>
      <c r="Q38" s="47"/>
      <c r="R38" s="76"/>
      <c r="S38" s="221"/>
      <c r="T38" s="228"/>
      <c r="U38" s="229">
        <f t="shared" si="13"/>
        <v>279.22499999999997</v>
      </c>
      <c r="V38" s="229">
        <f t="shared" si="13"/>
        <v>37.29375</v>
      </c>
      <c r="W38" s="229">
        <f t="shared" si="14"/>
        <v>82.8036</v>
      </c>
      <c r="X38" s="229">
        <f t="shared" si="14"/>
        <v>540.9835200000001</v>
      </c>
      <c r="Y38" s="229">
        <f t="shared" si="14"/>
        <v>356.05548000000005</v>
      </c>
      <c r="Z38" s="230">
        <f t="shared" si="7"/>
        <v>1296.3613500000001</v>
      </c>
      <c r="AA38" s="230">
        <f t="shared" si="4"/>
        <v>5520.240000000001</v>
      </c>
      <c r="AB38" s="231">
        <f t="shared" si="8"/>
        <v>6816.601350000001</v>
      </c>
      <c r="AC38" s="232"/>
      <c r="AD38" s="245">
        <f t="shared" si="9"/>
        <v>2985.5691666666667</v>
      </c>
      <c r="AE38" s="246">
        <f t="shared" si="5"/>
        <v>3831.032183333334</v>
      </c>
      <c r="AF38" s="232"/>
      <c r="AG38" s="251">
        <f t="shared" si="15"/>
        <v>313.65000000000003</v>
      </c>
      <c r="AH38" s="251">
        <f t="shared" si="15"/>
        <v>37.29375</v>
      </c>
      <c r="AI38" s="229">
        <f t="shared" si="10"/>
        <v>82.8036</v>
      </c>
      <c r="AJ38" s="229">
        <f t="shared" si="10"/>
        <v>540.9835200000001</v>
      </c>
      <c r="AK38" s="229">
        <f t="shared" si="10"/>
        <v>77.835384</v>
      </c>
      <c r="AL38" s="255">
        <f t="shared" si="11"/>
        <v>1052.566254</v>
      </c>
    </row>
    <row r="39" spans="1:38" ht="11.25" customHeight="1">
      <c r="A39" s="8">
        <v>33</v>
      </c>
      <c r="B39" s="8">
        <v>59</v>
      </c>
      <c r="C39" s="8"/>
      <c r="D39" s="16">
        <v>8</v>
      </c>
      <c r="E39" s="17">
        <f>VLOOKUP(D39,'A13 - Tabelle'!$A$6:$F$13,6)</f>
        <v>60640.31999999999</v>
      </c>
      <c r="F39" s="17">
        <f>VLOOKUP(D39,'A13 - Tabelle'!$A$6:$G$13,7)</f>
        <v>44013.52</v>
      </c>
      <c r="G39" s="18">
        <f t="shared" si="0"/>
        <v>41493.52</v>
      </c>
      <c r="H39" s="19"/>
      <c r="I39" s="16">
        <v>5</v>
      </c>
      <c r="J39" s="17">
        <f>VLOOKUP(I39,'E13 - Tabelle'!$A$7:$L$18,11)</f>
        <v>66242.88</v>
      </c>
      <c r="K39" s="20">
        <f>VLOOKUP(I39,'E13 - Tabelle'!$A$7:$L$18,12)</f>
        <v>35826.83</v>
      </c>
      <c r="L39" s="28">
        <f t="shared" si="1"/>
        <v>-5666.689999999995</v>
      </c>
      <c r="M39" s="32">
        <f t="shared" si="12"/>
        <v>-158271.37999999998</v>
      </c>
      <c r="N39" s="8">
        <v>33</v>
      </c>
      <c r="O39" s="8">
        <v>59</v>
      </c>
      <c r="P39" s="47"/>
      <c r="Q39" s="47"/>
      <c r="R39" s="76"/>
      <c r="S39" s="221"/>
      <c r="T39" s="228"/>
      <c r="U39" s="229">
        <f t="shared" si="13"/>
        <v>279.22499999999997</v>
      </c>
      <c r="V39" s="229">
        <f t="shared" si="13"/>
        <v>37.29375</v>
      </c>
      <c r="W39" s="229">
        <f t="shared" si="14"/>
        <v>82.8036</v>
      </c>
      <c r="X39" s="229">
        <f t="shared" si="14"/>
        <v>540.9835200000001</v>
      </c>
      <c r="Y39" s="229">
        <f t="shared" si="14"/>
        <v>356.05548000000005</v>
      </c>
      <c r="Z39" s="230">
        <f t="shared" si="7"/>
        <v>1296.3613500000001</v>
      </c>
      <c r="AA39" s="230">
        <f t="shared" si="4"/>
        <v>5520.240000000001</v>
      </c>
      <c r="AB39" s="231">
        <f t="shared" si="8"/>
        <v>6816.601350000001</v>
      </c>
      <c r="AC39" s="232"/>
      <c r="AD39" s="245">
        <f t="shared" si="9"/>
        <v>2985.5691666666667</v>
      </c>
      <c r="AE39" s="246">
        <f t="shared" si="5"/>
        <v>3831.032183333334</v>
      </c>
      <c r="AF39" s="232"/>
      <c r="AG39" s="251">
        <f t="shared" si="15"/>
        <v>313.65000000000003</v>
      </c>
      <c r="AH39" s="251">
        <f t="shared" si="15"/>
        <v>37.29375</v>
      </c>
      <c r="AI39" s="229">
        <f t="shared" si="10"/>
        <v>82.8036</v>
      </c>
      <c r="AJ39" s="229">
        <f t="shared" si="10"/>
        <v>540.9835200000001</v>
      </c>
      <c r="AK39" s="229">
        <f t="shared" si="10"/>
        <v>77.835384</v>
      </c>
      <c r="AL39" s="255">
        <f t="shared" si="11"/>
        <v>1052.566254</v>
      </c>
    </row>
    <row r="40" spans="1:38" ht="11.25" customHeight="1">
      <c r="A40" s="8">
        <v>34</v>
      </c>
      <c r="B40" s="8">
        <v>60</v>
      </c>
      <c r="C40" s="8"/>
      <c r="D40" s="16">
        <v>8</v>
      </c>
      <c r="E40" s="17">
        <f>VLOOKUP(D40,'A13 - Tabelle'!$A$6:$F$13,6)</f>
        <v>60640.31999999999</v>
      </c>
      <c r="F40" s="17">
        <f>VLOOKUP(D40,'A13 - Tabelle'!$A$6:$G$13,7)</f>
        <v>44013.52</v>
      </c>
      <c r="G40" s="18">
        <f t="shared" si="0"/>
        <v>41493.52</v>
      </c>
      <c r="H40" s="19"/>
      <c r="I40" s="16">
        <v>5</v>
      </c>
      <c r="J40" s="17">
        <f>VLOOKUP(I40,'E13 - Tabelle'!$A$7:$L$18,11)</f>
        <v>66242.88</v>
      </c>
      <c r="K40" s="20">
        <f>VLOOKUP(I40,'E13 - Tabelle'!$A$7:$L$18,12)</f>
        <v>35826.83</v>
      </c>
      <c r="L40" s="28">
        <f t="shared" si="1"/>
        <v>-5666.689999999995</v>
      </c>
      <c r="M40" s="32">
        <f t="shared" si="12"/>
        <v>-163938.06999999998</v>
      </c>
      <c r="N40" s="8">
        <v>34</v>
      </c>
      <c r="O40" s="8">
        <v>60</v>
      </c>
      <c r="P40" s="47"/>
      <c r="Q40" s="47"/>
      <c r="R40" s="76"/>
      <c r="S40" s="221"/>
      <c r="T40" s="228"/>
      <c r="U40" s="229">
        <f t="shared" si="13"/>
        <v>279.22499999999997</v>
      </c>
      <c r="V40" s="229">
        <f t="shared" si="13"/>
        <v>37.29375</v>
      </c>
      <c r="W40" s="229">
        <f t="shared" si="14"/>
        <v>82.8036</v>
      </c>
      <c r="X40" s="229">
        <f t="shared" si="14"/>
        <v>540.9835200000001</v>
      </c>
      <c r="Y40" s="229">
        <f t="shared" si="14"/>
        <v>356.05548000000005</v>
      </c>
      <c r="Z40" s="230">
        <f t="shared" si="7"/>
        <v>1296.3613500000001</v>
      </c>
      <c r="AA40" s="230">
        <f t="shared" si="4"/>
        <v>5520.240000000001</v>
      </c>
      <c r="AB40" s="231">
        <f t="shared" si="8"/>
        <v>6816.601350000001</v>
      </c>
      <c r="AC40" s="232"/>
      <c r="AD40" s="245">
        <f t="shared" si="9"/>
        <v>2985.5691666666667</v>
      </c>
      <c r="AE40" s="246">
        <f t="shared" si="5"/>
        <v>3831.032183333334</v>
      </c>
      <c r="AF40" s="232"/>
      <c r="AG40" s="251">
        <f t="shared" si="15"/>
        <v>313.65000000000003</v>
      </c>
      <c r="AH40" s="251">
        <f t="shared" si="15"/>
        <v>37.29375</v>
      </c>
      <c r="AI40" s="229">
        <f t="shared" si="10"/>
        <v>82.8036</v>
      </c>
      <c r="AJ40" s="229">
        <f t="shared" si="10"/>
        <v>540.9835200000001</v>
      </c>
      <c r="AK40" s="229">
        <f t="shared" si="10"/>
        <v>77.835384</v>
      </c>
      <c r="AL40" s="255">
        <f t="shared" si="11"/>
        <v>1052.566254</v>
      </c>
    </row>
    <row r="41" spans="1:38" ht="11.25" customHeight="1">
      <c r="A41" s="8">
        <v>35</v>
      </c>
      <c r="B41" s="8">
        <v>61</v>
      </c>
      <c r="C41" s="8"/>
      <c r="D41" s="16">
        <v>8</v>
      </c>
      <c r="E41" s="17">
        <f>VLOOKUP(D41,'A13 - Tabelle'!$A$6:$F$13,6)</f>
        <v>60640.31999999999</v>
      </c>
      <c r="F41" s="17">
        <f>VLOOKUP(D41,'A13 - Tabelle'!$A$6:$G$13,7)</f>
        <v>44013.52</v>
      </c>
      <c r="G41" s="18">
        <f t="shared" si="0"/>
        <v>41493.52</v>
      </c>
      <c r="H41" s="19"/>
      <c r="I41" s="16">
        <v>5</v>
      </c>
      <c r="J41" s="17">
        <f>VLOOKUP(I41,'E13 - Tabelle'!$A$7:$L$18,11)</f>
        <v>66242.88</v>
      </c>
      <c r="K41" s="20">
        <f>VLOOKUP(I41,'E13 - Tabelle'!$A$7:$L$18,12)</f>
        <v>35826.83</v>
      </c>
      <c r="L41" s="28">
        <f t="shared" si="1"/>
        <v>-5666.689999999995</v>
      </c>
      <c r="M41" s="32">
        <f t="shared" si="12"/>
        <v>-169604.75999999998</v>
      </c>
      <c r="N41" s="8">
        <v>35</v>
      </c>
      <c r="O41" s="8">
        <v>61</v>
      </c>
      <c r="P41" s="47"/>
      <c r="Q41" s="47"/>
      <c r="R41" s="76"/>
      <c r="S41" s="221"/>
      <c r="T41" s="228"/>
      <c r="U41" s="229">
        <f t="shared" si="13"/>
        <v>279.22499999999997</v>
      </c>
      <c r="V41" s="229">
        <f t="shared" si="13"/>
        <v>37.29375</v>
      </c>
      <c r="W41" s="229">
        <f t="shared" si="14"/>
        <v>82.8036</v>
      </c>
      <c r="X41" s="229">
        <f t="shared" si="14"/>
        <v>540.9835200000001</v>
      </c>
      <c r="Y41" s="229">
        <f t="shared" si="14"/>
        <v>356.05548000000005</v>
      </c>
      <c r="Z41" s="230">
        <f t="shared" si="7"/>
        <v>1296.3613500000001</v>
      </c>
      <c r="AA41" s="230">
        <f t="shared" si="4"/>
        <v>5520.240000000001</v>
      </c>
      <c r="AB41" s="231">
        <f t="shared" si="8"/>
        <v>6816.601350000001</v>
      </c>
      <c r="AC41" s="232"/>
      <c r="AD41" s="245">
        <f t="shared" si="9"/>
        <v>2985.5691666666667</v>
      </c>
      <c r="AE41" s="246">
        <f t="shared" si="5"/>
        <v>3831.032183333334</v>
      </c>
      <c r="AF41" s="232"/>
      <c r="AG41" s="251">
        <f t="shared" si="15"/>
        <v>313.65000000000003</v>
      </c>
      <c r="AH41" s="251">
        <f t="shared" si="15"/>
        <v>37.29375</v>
      </c>
      <c r="AI41" s="229">
        <f t="shared" si="10"/>
        <v>82.8036</v>
      </c>
      <c r="AJ41" s="229">
        <f t="shared" si="10"/>
        <v>540.9835200000001</v>
      </c>
      <c r="AK41" s="229">
        <f t="shared" si="10"/>
        <v>77.835384</v>
      </c>
      <c r="AL41" s="255">
        <f t="shared" si="11"/>
        <v>1052.566254</v>
      </c>
    </row>
    <row r="42" spans="1:38" ht="11.25" customHeight="1">
      <c r="A42" s="8">
        <v>36</v>
      </c>
      <c r="B42" s="8">
        <v>62</v>
      </c>
      <c r="C42" s="8"/>
      <c r="D42" s="16">
        <v>8</v>
      </c>
      <c r="E42" s="17">
        <f>VLOOKUP(D42,'A13 - Tabelle'!$A$6:$F$13,6)</f>
        <v>60640.31999999999</v>
      </c>
      <c r="F42" s="17">
        <f>VLOOKUP(D42,'A13 - Tabelle'!$A$6:$G$13,7)</f>
        <v>44013.52</v>
      </c>
      <c r="G42" s="18">
        <f t="shared" si="0"/>
        <v>41493.52</v>
      </c>
      <c r="H42" s="19"/>
      <c r="I42" s="16">
        <v>5</v>
      </c>
      <c r="J42" s="17">
        <f>VLOOKUP(I42,'E13 - Tabelle'!$A$7:$L$18,11)</f>
        <v>66242.88</v>
      </c>
      <c r="K42" s="20">
        <f>VLOOKUP(I42,'E13 - Tabelle'!$A$7:$L$18,12)</f>
        <v>35826.83</v>
      </c>
      <c r="L42" s="28">
        <f t="shared" si="1"/>
        <v>-5666.689999999995</v>
      </c>
      <c r="M42" s="32">
        <f t="shared" si="12"/>
        <v>-175271.44999999998</v>
      </c>
      <c r="N42" s="8">
        <v>36</v>
      </c>
      <c r="O42" s="8">
        <v>62</v>
      </c>
      <c r="P42" s="47"/>
      <c r="Q42" s="47"/>
      <c r="R42" s="76"/>
      <c r="S42" s="221"/>
      <c r="T42" s="228"/>
      <c r="U42" s="229">
        <f t="shared" si="13"/>
        <v>279.22499999999997</v>
      </c>
      <c r="V42" s="229">
        <f t="shared" si="13"/>
        <v>37.29375</v>
      </c>
      <c r="W42" s="229">
        <f t="shared" si="14"/>
        <v>82.8036</v>
      </c>
      <c r="X42" s="229">
        <f t="shared" si="14"/>
        <v>540.9835200000001</v>
      </c>
      <c r="Y42" s="229">
        <f t="shared" si="14"/>
        <v>356.05548000000005</v>
      </c>
      <c r="Z42" s="230">
        <f t="shared" si="7"/>
        <v>1296.3613500000001</v>
      </c>
      <c r="AA42" s="230">
        <f t="shared" si="4"/>
        <v>5520.240000000001</v>
      </c>
      <c r="AB42" s="231">
        <f t="shared" si="8"/>
        <v>6816.601350000001</v>
      </c>
      <c r="AC42" s="232"/>
      <c r="AD42" s="245">
        <f t="shared" si="9"/>
        <v>2985.5691666666667</v>
      </c>
      <c r="AE42" s="246">
        <f t="shared" si="5"/>
        <v>3831.032183333334</v>
      </c>
      <c r="AF42" s="232"/>
      <c r="AG42" s="251">
        <f t="shared" si="15"/>
        <v>313.65000000000003</v>
      </c>
      <c r="AH42" s="251">
        <f t="shared" si="15"/>
        <v>37.29375</v>
      </c>
      <c r="AI42" s="229">
        <f t="shared" si="10"/>
        <v>82.8036</v>
      </c>
      <c r="AJ42" s="229">
        <f t="shared" si="10"/>
        <v>540.9835200000001</v>
      </c>
      <c r="AK42" s="229">
        <f t="shared" si="10"/>
        <v>77.835384</v>
      </c>
      <c r="AL42" s="255">
        <f t="shared" si="11"/>
        <v>1052.566254</v>
      </c>
    </row>
    <row r="43" spans="1:38" ht="11.25" customHeight="1">
      <c r="A43" s="8">
        <v>37</v>
      </c>
      <c r="B43" s="8">
        <v>63</v>
      </c>
      <c r="C43" s="8"/>
      <c r="D43" s="16">
        <v>8</v>
      </c>
      <c r="E43" s="17">
        <f>VLOOKUP(D43,'A13 - Tabelle'!$A$6:$F$13,6)</f>
        <v>60640.31999999999</v>
      </c>
      <c r="F43" s="17">
        <f>VLOOKUP(D43,'A13 - Tabelle'!$A$6:$G$13,7)</f>
        <v>44013.52</v>
      </c>
      <c r="G43" s="18">
        <f t="shared" si="0"/>
        <v>41493.52</v>
      </c>
      <c r="H43" s="19"/>
      <c r="I43" s="16">
        <v>5</v>
      </c>
      <c r="J43" s="17">
        <f>VLOOKUP(I43,'E13 - Tabelle'!$A$7:$L$18,11)</f>
        <v>66242.88</v>
      </c>
      <c r="K43" s="20">
        <f>VLOOKUP(I43,'E13 - Tabelle'!$A$7:$L$18,12)</f>
        <v>35826.83</v>
      </c>
      <c r="L43" s="28">
        <f t="shared" si="1"/>
        <v>-5666.689999999995</v>
      </c>
      <c r="M43" s="32">
        <f t="shared" si="12"/>
        <v>-180938.13999999998</v>
      </c>
      <c r="N43" s="8">
        <v>37</v>
      </c>
      <c r="O43" s="8">
        <v>63</v>
      </c>
      <c r="P43" s="47"/>
      <c r="Q43" s="47"/>
      <c r="R43" s="76"/>
      <c r="S43" s="221"/>
      <c r="T43" s="228"/>
      <c r="U43" s="229">
        <f t="shared" si="13"/>
        <v>279.22499999999997</v>
      </c>
      <c r="V43" s="229">
        <f t="shared" si="13"/>
        <v>37.29375</v>
      </c>
      <c r="W43" s="229">
        <f t="shared" si="14"/>
        <v>82.8036</v>
      </c>
      <c r="X43" s="229">
        <f t="shared" si="14"/>
        <v>540.9835200000001</v>
      </c>
      <c r="Y43" s="229">
        <f t="shared" si="14"/>
        <v>356.05548000000005</v>
      </c>
      <c r="Z43" s="230">
        <f t="shared" si="7"/>
        <v>1296.3613500000001</v>
      </c>
      <c r="AA43" s="230">
        <f t="shared" si="4"/>
        <v>5520.240000000001</v>
      </c>
      <c r="AB43" s="231">
        <f t="shared" si="8"/>
        <v>6816.601350000001</v>
      </c>
      <c r="AC43" s="232"/>
      <c r="AD43" s="245">
        <f t="shared" si="9"/>
        <v>2985.5691666666667</v>
      </c>
      <c r="AE43" s="246">
        <f t="shared" si="5"/>
        <v>3831.032183333334</v>
      </c>
      <c r="AF43" s="232"/>
      <c r="AG43" s="251">
        <f t="shared" si="15"/>
        <v>313.65000000000003</v>
      </c>
      <c r="AH43" s="251">
        <f t="shared" si="15"/>
        <v>37.29375</v>
      </c>
      <c r="AI43" s="229">
        <f t="shared" si="10"/>
        <v>82.8036</v>
      </c>
      <c r="AJ43" s="229">
        <f t="shared" si="10"/>
        <v>540.9835200000001</v>
      </c>
      <c r="AK43" s="229">
        <f t="shared" si="10"/>
        <v>77.835384</v>
      </c>
      <c r="AL43" s="255">
        <f t="shared" si="11"/>
        <v>1052.566254</v>
      </c>
    </row>
    <row r="44" spans="1:38" ht="11.25" customHeight="1">
      <c r="A44" s="8">
        <v>38</v>
      </c>
      <c r="B44" s="8">
        <v>64</v>
      </c>
      <c r="C44" s="8"/>
      <c r="D44" s="16">
        <v>8</v>
      </c>
      <c r="E44" s="17">
        <f>VLOOKUP(D44,'A13 - Tabelle'!$A$6:$F$13,6)</f>
        <v>60640.31999999999</v>
      </c>
      <c r="F44" s="17">
        <f>VLOOKUP(D44,'A13 - Tabelle'!$A$6:$G$13,7)</f>
        <v>44013.52</v>
      </c>
      <c r="G44" s="18">
        <f t="shared" si="0"/>
        <v>41493.52</v>
      </c>
      <c r="H44" s="19"/>
      <c r="I44" s="16">
        <v>5</v>
      </c>
      <c r="J44" s="17">
        <f>VLOOKUP(I44,'E13 - Tabelle'!$A$7:$L$18,11)</f>
        <v>66242.88</v>
      </c>
      <c r="K44" s="20">
        <f>VLOOKUP(I44,'E13 - Tabelle'!$A$7:$L$18,12)</f>
        <v>35826.83</v>
      </c>
      <c r="L44" s="28">
        <f t="shared" si="1"/>
        <v>-5666.689999999995</v>
      </c>
      <c r="M44" s="32">
        <f t="shared" si="12"/>
        <v>-186604.83</v>
      </c>
      <c r="N44" s="8">
        <v>38</v>
      </c>
      <c r="O44" s="8">
        <v>64</v>
      </c>
      <c r="P44" s="47"/>
      <c r="Q44" s="47"/>
      <c r="R44" s="76"/>
      <c r="S44" s="221"/>
      <c r="T44" s="228"/>
      <c r="U44" s="229">
        <f t="shared" si="13"/>
        <v>279.22499999999997</v>
      </c>
      <c r="V44" s="229">
        <f t="shared" si="13"/>
        <v>37.29375</v>
      </c>
      <c r="W44" s="229">
        <f t="shared" si="14"/>
        <v>82.8036</v>
      </c>
      <c r="X44" s="229">
        <f t="shared" si="14"/>
        <v>540.9835200000001</v>
      </c>
      <c r="Y44" s="229">
        <f t="shared" si="14"/>
        <v>356.05548000000005</v>
      </c>
      <c r="Z44" s="230">
        <f t="shared" si="7"/>
        <v>1296.3613500000001</v>
      </c>
      <c r="AA44" s="230">
        <f t="shared" si="4"/>
        <v>5520.240000000001</v>
      </c>
      <c r="AB44" s="231">
        <f t="shared" si="8"/>
        <v>6816.601350000001</v>
      </c>
      <c r="AC44" s="232"/>
      <c r="AD44" s="245">
        <f t="shared" si="9"/>
        <v>2985.5691666666667</v>
      </c>
      <c r="AE44" s="246">
        <f t="shared" si="5"/>
        <v>3831.032183333334</v>
      </c>
      <c r="AF44" s="232"/>
      <c r="AG44" s="251">
        <f t="shared" si="15"/>
        <v>313.65000000000003</v>
      </c>
      <c r="AH44" s="251">
        <f t="shared" si="15"/>
        <v>37.29375</v>
      </c>
      <c r="AI44" s="229">
        <f t="shared" si="10"/>
        <v>82.8036</v>
      </c>
      <c r="AJ44" s="229">
        <f t="shared" si="10"/>
        <v>540.9835200000001</v>
      </c>
      <c r="AK44" s="229">
        <f t="shared" si="10"/>
        <v>77.835384</v>
      </c>
      <c r="AL44" s="255">
        <f t="shared" si="11"/>
        <v>1052.566254</v>
      </c>
    </row>
    <row r="45" spans="1:38" ht="11.25" customHeight="1">
      <c r="A45" s="8">
        <v>39</v>
      </c>
      <c r="B45" s="8">
        <v>65</v>
      </c>
      <c r="C45" s="8"/>
      <c r="D45" s="16">
        <v>8</v>
      </c>
      <c r="E45" s="17">
        <f>VLOOKUP(D45,'A13 - Tabelle'!$A$6:$F$13,6)</f>
        <v>60640.31999999999</v>
      </c>
      <c r="F45" s="17">
        <f>VLOOKUP(D45,'A13 - Tabelle'!$A$6:$G$13,7)</f>
        <v>44013.52</v>
      </c>
      <c r="G45" s="18">
        <f t="shared" si="0"/>
        <v>41493.52</v>
      </c>
      <c r="H45" s="19"/>
      <c r="I45" s="16">
        <v>5</v>
      </c>
      <c r="J45" s="17">
        <f>VLOOKUP(I45,'E13 - Tabelle'!$A$7:$L$18,11)</f>
        <v>66242.88</v>
      </c>
      <c r="K45" s="20">
        <f>VLOOKUP(I45,'E13 - Tabelle'!$A$7:$L$18,12)</f>
        <v>35826.83</v>
      </c>
      <c r="L45" s="28">
        <f t="shared" si="1"/>
        <v>-5666.689999999995</v>
      </c>
      <c r="M45" s="32">
        <f t="shared" si="12"/>
        <v>-192271.52</v>
      </c>
      <c r="N45" s="8">
        <v>39</v>
      </c>
      <c r="O45" s="8">
        <v>65</v>
      </c>
      <c r="P45" s="47"/>
      <c r="Q45" s="47"/>
      <c r="R45" s="76"/>
      <c r="S45" s="221"/>
      <c r="T45" s="228"/>
      <c r="U45" s="229">
        <f t="shared" si="13"/>
        <v>279.22499999999997</v>
      </c>
      <c r="V45" s="229">
        <f t="shared" si="13"/>
        <v>37.29375</v>
      </c>
      <c r="W45" s="229">
        <f t="shared" si="14"/>
        <v>82.8036</v>
      </c>
      <c r="X45" s="229">
        <f t="shared" si="14"/>
        <v>540.9835200000001</v>
      </c>
      <c r="Y45" s="229">
        <f t="shared" si="14"/>
        <v>356.05548000000005</v>
      </c>
      <c r="Z45" s="230">
        <f t="shared" si="7"/>
        <v>1296.3613500000001</v>
      </c>
      <c r="AA45" s="230">
        <f t="shared" si="4"/>
        <v>5520.240000000001</v>
      </c>
      <c r="AB45" s="231">
        <f t="shared" si="8"/>
        <v>6816.601350000001</v>
      </c>
      <c r="AC45" s="232"/>
      <c r="AD45" s="245">
        <f t="shared" si="9"/>
        <v>2985.5691666666667</v>
      </c>
      <c r="AE45" s="246">
        <f t="shared" si="5"/>
        <v>3831.032183333334</v>
      </c>
      <c r="AF45" s="232"/>
      <c r="AG45" s="251">
        <f t="shared" si="15"/>
        <v>313.65000000000003</v>
      </c>
      <c r="AH45" s="251">
        <f t="shared" si="15"/>
        <v>37.29375</v>
      </c>
      <c r="AI45" s="229">
        <f t="shared" si="10"/>
        <v>82.8036</v>
      </c>
      <c r="AJ45" s="229">
        <f t="shared" si="10"/>
        <v>540.9835200000001</v>
      </c>
      <c r="AK45" s="229">
        <f t="shared" si="10"/>
        <v>77.835384</v>
      </c>
      <c r="AL45" s="255">
        <f t="shared" si="11"/>
        <v>1052.566254</v>
      </c>
    </row>
    <row r="46" spans="1:38" ht="11.25" customHeight="1">
      <c r="A46" s="8">
        <v>40</v>
      </c>
      <c r="B46" s="240">
        <v>66</v>
      </c>
      <c r="C46" s="8"/>
      <c r="D46" s="21">
        <v>8</v>
      </c>
      <c r="E46" s="17">
        <f>VLOOKUP(D46,'A13 - Tabelle'!$A$6:$F$13,6)</f>
        <v>60640.31999999999</v>
      </c>
      <c r="F46" s="17">
        <f>VLOOKUP(D46,'A13 - Tabelle'!$A$6:$G$13,7)</f>
        <v>44013.52</v>
      </c>
      <c r="G46" s="18">
        <f t="shared" si="0"/>
        <v>41493.52</v>
      </c>
      <c r="H46" s="19"/>
      <c r="I46" s="16">
        <v>5</v>
      </c>
      <c r="J46" s="17">
        <f>VLOOKUP(I46,'E13 - Tabelle'!$A$7:$L$18,11)</f>
        <v>66242.88</v>
      </c>
      <c r="K46" s="20">
        <f>VLOOKUP(I46,'E13 - Tabelle'!$A$7:$L$18,12)</f>
        <v>35826.83</v>
      </c>
      <c r="L46" s="28">
        <f t="shared" si="1"/>
        <v>-5666.689999999995</v>
      </c>
      <c r="M46" s="32">
        <f t="shared" si="12"/>
        <v>-197938.21</v>
      </c>
      <c r="N46" s="8">
        <v>40</v>
      </c>
      <c r="O46" s="240">
        <v>66</v>
      </c>
      <c r="P46" s="47"/>
      <c r="Q46" s="47"/>
      <c r="R46" s="76"/>
      <c r="S46" s="221"/>
      <c r="T46" s="233"/>
      <c r="U46" s="229">
        <f t="shared" si="13"/>
        <v>279.22499999999997</v>
      </c>
      <c r="V46" s="229">
        <f t="shared" si="13"/>
        <v>37.29375</v>
      </c>
      <c r="W46" s="229">
        <f t="shared" si="14"/>
        <v>82.8036</v>
      </c>
      <c r="X46" s="229">
        <f t="shared" si="14"/>
        <v>540.9835200000001</v>
      </c>
      <c r="Y46" s="229">
        <f t="shared" si="14"/>
        <v>356.05548000000005</v>
      </c>
      <c r="Z46" s="230">
        <f t="shared" si="7"/>
        <v>1296.3613500000001</v>
      </c>
      <c r="AA46" s="230">
        <f t="shared" si="4"/>
        <v>5520.240000000001</v>
      </c>
      <c r="AB46" s="231">
        <f t="shared" si="8"/>
        <v>6816.601350000001</v>
      </c>
      <c r="AC46" s="232"/>
      <c r="AD46" s="245">
        <f t="shared" si="9"/>
        <v>2985.5691666666667</v>
      </c>
      <c r="AE46" s="246">
        <f t="shared" si="5"/>
        <v>3831.032183333334</v>
      </c>
      <c r="AF46" s="232"/>
      <c r="AG46" s="251">
        <f t="shared" si="15"/>
        <v>313.65000000000003</v>
      </c>
      <c r="AH46" s="251">
        <f t="shared" si="15"/>
        <v>37.29375</v>
      </c>
      <c r="AI46" s="229">
        <f t="shared" si="10"/>
        <v>82.8036</v>
      </c>
      <c r="AJ46" s="229">
        <f t="shared" si="10"/>
        <v>540.9835200000001</v>
      </c>
      <c r="AK46" s="229">
        <f t="shared" si="10"/>
        <v>77.835384</v>
      </c>
      <c r="AL46" s="255">
        <f t="shared" si="11"/>
        <v>1052.566254</v>
      </c>
    </row>
    <row r="47" spans="1:38" s="123" customFormat="1" ht="13.5" thickBot="1">
      <c r="A47" s="117"/>
      <c r="B47" s="117"/>
      <c r="C47" s="117"/>
      <c r="D47" s="114" t="s">
        <v>7</v>
      </c>
      <c r="E47" s="118">
        <f>AVERAGE(E7:E46)</f>
        <v>57071.10900000003</v>
      </c>
      <c r="F47" s="118">
        <f>AVERAGE(F7:F46)</f>
        <v>41997.77175000001</v>
      </c>
      <c r="G47" s="108">
        <f>AVERAGE(G7:G46)</f>
        <v>39477.77175000001</v>
      </c>
      <c r="H47" s="119"/>
      <c r="I47" s="114" t="s">
        <v>7</v>
      </c>
      <c r="J47" s="118">
        <f>AVERAGE(J7:J46)</f>
        <v>63296.30149999994</v>
      </c>
      <c r="K47" s="115">
        <f>AVERAGE(K7:K46)</f>
        <v>34529.3165</v>
      </c>
      <c r="L47" s="120">
        <f>AVERAGE(L7:L46)</f>
        <v>-4948.45525</v>
      </c>
      <c r="M47" s="121"/>
      <c r="N47" s="424">
        <f>L47*40</f>
        <v>-197938.21</v>
      </c>
      <c r="O47" s="425"/>
      <c r="P47" s="425"/>
      <c r="Q47" s="122"/>
      <c r="R47" s="124"/>
      <c r="S47" s="253"/>
      <c r="T47" s="234" t="s">
        <v>7</v>
      </c>
      <c r="U47" s="235">
        <f aca="true" t="shared" si="16" ref="U47:AB47">AVERAGE(U7:U46)</f>
        <v>279.2250000000002</v>
      </c>
      <c r="V47" s="235">
        <f t="shared" si="16"/>
        <v>37.29375000000003</v>
      </c>
      <c r="W47" s="235">
        <f t="shared" si="16"/>
        <v>79.12037687500005</v>
      </c>
      <c r="X47" s="235">
        <f t="shared" si="16"/>
        <v>516.9197955833336</v>
      </c>
      <c r="Y47" s="235">
        <f t="shared" si="16"/>
        <v>340.2176205625004</v>
      </c>
      <c r="Z47" s="236">
        <f t="shared" si="16"/>
        <v>1252.7765430208328</v>
      </c>
      <c r="AA47" s="236">
        <f t="shared" si="16"/>
        <v>5274.691791666665</v>
      </c>
      <c r="AB47" s="238">
        <f t="shared" si="16"/>
        <v>6527.4683346875045</v>
      </c>
      <c r="AC47" s="232"/>
      <c r="AD47" s="247">
        <f>AVERAGE(AD7:AD46)</f>
        <v>2877.443041666668</v>
      </c>
      <c r="AE47" s="238">
        <f>AVERAGE(AE7:AE46)</f>
        <v>3650.025293020832</v>
      </c>
      <c r="AF47" s="232"/>
      <c r="AG47" s="252">
        <f aca="true" t="shared" si="17" ref="AG47:AL47">AVERAGE(AG7:AG46)</f>
        <v>313.64999999999975</v>
      </c>
      <c r="AH47" s="235">
        <f t="shared" si="17"/>
        <v>37.29375000000003</v>
      </c>
      <c r="AI47" s="235">
        <f t="shared" si="17"/>
        <v>79.12037687500005</v>
      </c>
      <c r="AJ47" s="235">
        <f t="shared" si="17"/>
        <v>516.9197955833336</v>
      </c>
      <c r="AK47" s="235">
        <f t="shared" si="17"/>
        <v>74.37315426249998</v>
      </c>
      <c r="AL47" s="237">
        <f t="shared" si="17"/>
        <v>1021.3570767208333</v>
      </c>
    </row>
    <row r="48" spans="4:38" s="176" customFormat="1" ht="13.5" thickTop="1">
      <c r="D48" s="173" t="s">
        <v>52</v>
      </c>
      <c r="E48" s="174">
        <f>E47/12</f>
        <v>4755.925750000003</v>
      </c>
      <c r="F48" s="174">
        <f>F47/12</f>
        <v>3499.8143125000006</v>
      </c>
      <c r="G48" s="174">
        <f>G47/12</f>
        <v>3289.8143125000006</v>
      </c>
      <c r="H48" s="174"/>
      <c r="I48" s="175"/>
      <c r="J48" s="174">
        <f>J47/12</f>
        <v>5274.691791666662</v>
      </c>
      <c r="K48" s="174">
        <f>K47/12</f>
        <v>2877.443041666667</v>
      </c>
      <c r="L48" s="174">
        <f>L47/12</f>
        <v>-412.3712708333333</v>
      </c>
      <c r="M48" s="31"/>
      <c r="N48" s="31"/>
      <c r="P48" s="31"/>
      <c r="Q48" s="31"/>
      <c r="R48" s="124"/>
      <c r="S48" s="254"/>
      <c r="T48" s="241" t="s">
        <v>63</v>
      </c>
      <c r="U48" s="239"/>
      <c r="V48" s="239"/>
      <c r="W48" s="40" t="s">
        <v>77</v>
      </c>
      <c r="X48" s="264" t="s">
        <v>79</v>
      </c>
      <c r="AC48" s="172"/>
      <c r="AD48" s="172"/>
      <c r="AE48" s="172"/>
      <c r="AF48" s="172"/>
      <c r="AG48" s="172"/>
      <c r="AH48" s="172"/>
      <c r="AI48" s="172"/>
      <c r="AJ48" s="172"/>
      <c r="AK48" s="172"/>
      <c r="AL48" s="172"/>
    </row>
    <row r="49" spans="1:38" ht="12.75">
      <c r="A49" s="75"/>
      <c r="B49" s="75"/>
      <c r="C49" s="75"/>
      <c r="D49" s="76"/>
      <c r="E49" s="295"/>
      <c r="F49" s="77"/>
      <c r="G49" s="78"/>
      <c r="H49" s="79"/>
      <c r="I49" s="76"/>
      <c r="J49" s="295"/>
      <c r="K49" s="78"/>
      <c r="L49" s="80"/>
      <c r="M49" s="80"/>
      <c r="N49" s="81"/>
      <c r="O49" s="75"/>
      <c r="P49" s="82"/>
      <c r="Q49" s="82"/>
      <c r="R49" s="76"/>
      <c r="S49" s="221"/>
      <c r="T49" s="40" t="s">
        <v>76</v>
      </c>
      <c r="U49" s="242"/>
      <c r="V49" s="242"/>
      <c r="W49" s="242"/>
      <c r="X49" s="242"/>
      <c r="Y49" s="242"/>
      <c r="Z49" s="240"/>
      <c r="AA49" s="240"/>
      <c r="AB49" s="239"/>
      <c r="AC49" s="239"/>
      <c r="AD49" s="40"/>
      <c r="AE49" s="264" t="s">
        <v>78</v>
      </c>
      <c r="AF49" s="239"/>
      <c r="AH49" s="239"/>
      <c r="AI49" s="239"/>
      <c r="AJ49" s="264" t="s">
        <v>80</v>
      </c>
      <c r="AK49" s="239"/>
      <c r="AL49" s="240"/>
    </row>
  </sheetData>
  <sheetProtection/>
  <mergeCells count="3">
    <mergeCell ref="D5:G5"/>
    <mergeCell ref="I5:M5"/>
    <mergeCell ref="N47:P47"/>
  </mergeCells>
  <hyperlinks>
    <hyperlink ref="AE49" r:id="rId1" display="http://www.aok-bv.de/zahlen/gesundheitswesen/index_00529.html"/>
    <hyperlink ref="AJ49" r:id="rId2" display="http://www.lohn-info.de/beitragsberechnung.html"/>
  </hyperlinks>
  <printOptions/>
  <pageMargins left="0.4" right="0.18" top="0.19" bottom="0.2" header="0.19" footer="0.17"/>
  <pageSetup horizontalDpi="600" verticalDpi="600" orientation="landscape" paperSize="9" r:id="rId3"/>
</worksheet>
</file>

<file path=xl/worksheets/sheet7.xml><?xml version="1.0" encoding="utf-8"?>
<worksheet xmlns="http://schemas.openxmlformats.org/spreadsheetml/2006/main" xmlns:r="http://schemas.openxmlformats.org/officeDocument/2006/relationships">
  <dimension ref="A1:AL50"/>
  <sheetViews>
    <sheetView zoomScalePageLayoutView="0" workbookViewId="0" topLeftCell="A15">
      <selection activeCell="I21" sqref="I21"/>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6" customWidth="1"/>
    <col min="13" max="13" width="11.00390625" style="26" customWidth="1"/>
    <col min="14" max="14" width="5.57421875" style="6" customWidth="1"/>
    <col min="15" max="15" width="4.28125" style="26" customWidth="1"/>
    <col min="16" max="16" width="9.28125" style="30" customWidth="1"/>
    <col min="17" max="17" width="7.28125" style="30" customWidth="1"/>
    <col min="19" max="19" width="3.421875" style="0" customWidth="1"/>
    <col min="20" max="20" width="4.421875" style="0" customWidth="1"/>
    <col min="27" max="27" width="12.421875" style="0" customWidth="1"/>
    <col min="29" max="29" width="3.421875" style="0" customWidth="1"/>
    <col min="32" max="32" width="4.140625" style="0" customWidth="1"/>
  </cols>
  <sheetData>
    <row r="1" spans="4:38" ht="12.75" customHeight="1">
      <c r="D1" s="34" t="s">
        <v>28</v>
      </c>
      <c r="P1" s="22" t="s">
        <v>9</v>
      </c>
      <c r="Q1" s="33">
        <v>210</v>
      </c>
      <c r="R1" s="284"/>
      <c r="S1" s="221"/>
      <c r="T1" s="221"/>
      <c r="U1" s="2" t="s">
        <v>55</v>
      </c>
      <c r="X1" s="263" t="s">
        <v>74</v>
      </c>
      <c r="Z1" s="222"/>
      <c r="AA1" s="222"/>
      <c r="AB1" s="232">
        <v>45900</v>
      </c>
      <c r="AC1" s="2"/>
      <c r="AE1" s="146"/>
      <c r="AF1" s="2"/>
      <c r="AG1" s="2" t="s">
        <v>65</v>
      </c>
      <c r="AL1" s="222"/>
    </row>
    <row r="2" spans="18:38" ht="2.25" customHeight="1">
      <c r="R2" s="284"/>
      <c r="S2" s="221"/>
      <c r="T2" s="221"/>
      <c r="Z2" s="222"/>
      <c r="AA2" s="222"/>
      <c r="AB2" s="2"/>
      <c r="AC2" s="2"/>
      <c r="AD2" s="126"/>
      <c r="AE2" s="146"/>
      <c r="AF2" s="2"/>
      <c r="AL2" s="222"/>
    </row>
    <row r="3" spans="1:38" ht="12.75">
      <c r="A3" s="8"/>
      <c r="B3" s="8"/>
      <c r="C3" s="8"/>
      <c r="D3" s="40" t="s">
        <v>127</v>
      </c>
      <c r="E3" s="10"/>
      <c r="F3" s="10"/>
      <c r="G3" s="11"/>
      <c r="H3" s="12"/>
      <c r="I3" s="9"/>
      <c r="J3" s="10"/>
      <c r="K3" s="11"/>
      <c r="L3" s="27"/>
      <c r="M3" s="27"/>
      <c r="N3" s="23"/>
      <c r="O3" s="27"/>
      <c r="P3" s="31"/>
      <c r="Q3" s="31"/>
      <c r="R3" s="284"/>
      <c r="S3" s="221"/>
      <c r="T3" s="221"/>
      <c r="U3" t="s">
        <v>54</v>
      </c>
      <c r="V3" t="s">
        <v>54</v>
      </c>
      <c r="W3" t="s">
        <v>54</v>
      </c>
      <c r="X3" t="s">
        <v>54</v>
      </c>
      <c r="Y3" t="s">
        <v>54</v>
      </c>
      <c r="Z3" s="222"/>
      <c r="AA3" s="222"/>
      <c r="AB3" s="2"/>
      <c r="AC3" s="2"/>
      <c r="AD3" s="126"/>
      <c r="AE3" s="146"/>
      <c r="AF3" s="2"/>
      <c r="AG3" t="s">
        <v>54</v>
      </c>
      <c r="AH3" t="s">
        <v>54</v>
      </c>
      <c r="AI3" t="s">
        <v>54</v>
      </c>
      <c r="AJ3" t="s">
        <v>54</v>
      </c>
      <c r="AK3" t="s">
        <v>54</v>
      </c>
      <c r="AL3" s="222"/>
    </row>
    <row r="4" spans="1:38" ht="3" customHeight="1">
      <c r="A4" s="8"/>
      <c r="B4" s="8"/>
      <c r="C4" s="8"/>
      <c r="D4" s="9"/>
      <c r="E4" s="10"/>
      <c r="F4" s="10"/>
      <c r="G4" s="11"/>
      <c r="H4" s="12"/>
      <c r="I4" s="9"/>
      <c r="J4" s="10"/>
      <c r="K4" s="11"/>
      <c r="L4" s="27"/>
      <c r="M4" s="27"/>
      <c r="N4" s="23"/>
      <c r="O4" s="27"/>
      <c r="P4" s="31"/>
      <c r="Q4" s="31"/>
      <c r="R4" s="284"/>
      <c r="S4" s="221"/>
      <c r="T4" s="221"/>
      <c r="Z4" s="222"/>
      <c r="AA4" s="222"/>
      <c r="AB4" s="2"/>
      <c r="AC4" s="2"/>
      <c r="AD4" s="126"/>
      <c r="AE4" s="146"/>
      <c r="AF4" s="2"/>
      <c r="AL4" s="222"/>
    </row>
    <row r="5" spans="1:38" ht="35.25" customHeight="1">
      <c r="A5" s="8"/>
      <c r="B5" s="8"/>
      <c r="C5" s="8"/>
      <c r="D5" s="418" t="s">
        <v>124</v>
      </c>
      <c r="E5" s="419"/>
      <c r="F5" s="419"/>
      <c r="G5" s="420"/>
      <c r="H5" s="25"/>
      <c r="I5" s="421" t="s">
        <v>125</v>
      </c>
      <c r="J5" s="422"/>
      <c r="K5" s="422"/>
      <c r="L5" s="422"/>
      <c r="M5" s="423"/>
      <c r="N5" s="63"/>
      <c r="O5" s="63"/>
      <c r="P5" s="63"/>
      <c r="Q5" s="63"/>
      <c r="R5" s="284"/>
      <c r="S5" s="221"/>
      <c r="T5" s="221"/>
      <c r="U5" s="243">
        <v>0.073</v>
      </c>
      <c r="V5" s="244">
        <v>0.00975</v>
      </c>
      <c r="W5" s="243">
        <v>0.015</v>
      </c>
      <c r="X5" s="243">
        <v>0.098</v>
      </c>
      <c r="Y5" s="243">
        <v>0.0645</v>
      </c>
      <c r="Z5" s="243">
        <f>SUM(U5:Y5)</f>
        <v>0.26025</v>
      </c>
      <c r="AA5" s="222"/>
      <c r="AB5" s="2"/>
      <c r="AC5" s="2"/>
      <c r="AD5" s="126"/>
      <c r="AE5" s="146"/>
      <c r="AF5" s="2"/>
      <c r="AG5" s="243">
        <v>0.082</v>
      </c>
      <c r="AH5" s="244">
        <v>0.00975</v>
      </c>
      <c r="AI5" s="243">
        <v>0.015</v>
      </c>
      <c r="AJ5" s="243">
        <v>0.098</v>
      </c>
      <c r="AK5" s="243">
        <v>0.0141</v>
      </c>
      <c r="AL5" s="243">
        <f>SUM(AG5:AK5)</f>
        <v>0.21885</v>
      </c>
    </row>
    <row r="6" spans="1:38" ht="33" customHeight="1">
      <c r="A6" s="116" t="s">
        <v>32</v>
      </c>
      <c r="B6" s="13" t="s">
        <v>1</v>
      </c>
      <c r="C6" s="13"/>
      <c r="D6" s="64" t="s">
        <v>2</v>
      </c>
      <c r="E6" s="65" t="s">
        <v>4</v>
      </c>
      <c r="F6" s="65" t="s">
        <v>3</v>
      </c>
      <c r="G6" s="66" t="s">
        <v>26</v>
      </c>
      <c r="H6" s="15"/>
      <c r="I6" s="64" t="s">
        <v>2</v>
      </c>
      <c r="J6" s="65" t="s">
        <v>5</v>
      </c>
      <c r="K6" s="67" t="s">
        <v>6</v>
      </c>
      <c r="L6" s="68" t="s">
        <v>8</v>
      </c>
      <c r="M6" s="69" t="s">
        <v>27</v>
      </c>
      <c r="N6" s="116" t="s">
        <v>32</v>
      </c>
      <c r="O6" s="13" t="s">
        <v>1</v>
      </c>
      <c r="P6" s="48"/>
      <c r="Q6" s="48"/>
      <c r="R6" s="284"/>
      <c r="S6" s="221"/>
      <c r="T6" s="223"/>
      <c r="U6" s="224" t="s">
        <v>67</v>
      </c>
      <c r="V6" s="224" t="s">
        <v>56</v>
      </c>
      <c r="W6" s="224" t="s">
        <v>81</v>
      </c>
      <c r="X6" s="224" t="s">
        <v>82</v>
      </c>
      <c r="Y6" s="224" t="s">
        <v>66</v>
      </c>
      <c r="Z6" s="225" t="s">
        <v>59</v>
      </c>
      <c r="AA6" s="225" t="s">
        <v>60</v>
      </c>
      <c r="AB6" s="226" t="s">
        <v>61</v>
      </c>
      <c r="AC6" s="227"/>
      <c r="AD6" s="248" t="s">
        <v>62</v>
      </c>
      <c r="AE6" s="249" t="s">
        <v>64</v>
      </c>
      <c r="AF6" s="227"/>
      <c r="AG6" s="250" t="s">
        <v>67</v>
      </c>
      <c r="AH6" s="224" t="s">
        <v>56</v>
      </c>
      <c r="AI6" s="224" t="s">
        <v>57</v>
      </c>
      <c r="AJ6" s="224" t="s">
        <v>58</v>
      </c>
      <c r="AK6" s="224" t="s">
        <v>66</v>
      </c>
      <c r="AL6" s="256" t="s">
        <v>59</v>
      </c>
    </row>
    <row r="7" spans="1:38" ht="11.25" customHeight="1">
      <c r="A7" s="8">
        <v>1</v>
      </c>
      <c r="B7" s="8">
        <v>27</v>
      </c>
      <c r="C7" s="8"/>
      <c r="D7" s="16">
        <v>1</v>
      </c>
      <c r="E7" s="17">
        <f>VLOOKUP(D7,'A13 - Tabelle'!$A$6:$F$13,6)</f>
        <v>47088.24</v>
      </c>
      <c r="F7" s="17">
        <f>VLOOKUP(D7,'A13 - Tabelle'!$A$6:$G$13,7)</f>
        <v>36235.46</v>
      </c>
      <c r="G7" s="18">
        <f aca="true" t="shared" si="0" ref="G7:G46">F7-12*$Q$1</f>
        <v>33715.46</v>
      </c>
      <c r="H7" s="19"/>
      <c r="I7" s="16">
        <v>5</v>
      </c>
      <c r="J7" s="17">
        <f>VLOOKUP(I7,'E13 - Tabelle'!$A$7:$L$18,11)</f>
        <v>66242.88</v>
      </c>
      <c r="K7" s="20">
        <f>VLOOKUP(I7,'E13 - Tabelle'!$A$7:$L$18,12)</f>
        <v>35826.83</v>
      </c>
      <c r="L7" s="28">
        <f aca="true" t="shared" si="1" ref="L7:L46">K7-G7</f>
        <v>2111.3700000000026</v>
      </c>
      <c r="M7" s="32">
        <f>L7</f>
        <v>2111.3700000000026</v>
      </c>
      <c r="N7" s="8">
        <v>1</v>
      </c>
      <c r="O7" s="8">
        <v>27</v>
      </c>
      <c r="P7" s="47"/>
      <c r="Q7" s="47"/>
      <c r="R7" s="284"/>
      <c r="S7" s="221"/>
      <c r="T7" s="228"/>
      <c r="U7" s="229">
        <f aca="true" t="shared" si="2" ref="U7:V41">IF(($J7&lt;$AB$1),$J7/12*U$5,$AB$1/12*U$5)</f>
        <v>279.22499999999997</v>
      </c>
      <c r="V7" s="229">
        <f t="shared" si="2"/>
        <v>37.29375</v>
      </c>
      <c r="W7" s="229">
        <f>$J7/12*W$5</f>
        <v>82.8036</v>
      </c>
      <c r="X7" s="229">
        <f>$J7/12*X$5</f>
        <v>540.9835200000001</v>
      </c>
      <c r="Y7" s="229">
        <f>$J7/12*Y$5</f>
        <v>356.05548000000005</v>
      </c>
      <c r="Z7" s="230">
        <f>SUM(U7:Y7)</f>
        <v>1296.3613500000001</v>
      </c>
      <c r="AA7" s="230">
        <f>J7/12</f>
        <v>5520.240000000001</v>
      </c>
      <c r="AB7" s="231">
        <f>AA7+Z7</f>
        <v>6816.601350000001</v>
      </c>
      <c r="AC7" s="232"/>
      <c r="AD7" s="245">
        <f>K7/12</f>
        <v>2985.5691666666667</v>
      </c>
      <c r="AE7" s="246">
        <f>AB7-AD7</f>
        <v>3831.032183333334</v>
      </c>
      <c r="AF7" s="232"/>
      <c r="AG7" s="251">
        <f>IF(($J7&lt;$AB$1),$J7/12*AG$5,$AB$1/12*AG$5)</f>
        <v>313.65000000000003</v>
      </c>
      <c r="AH7" s="251">
        <f>IF(($J7&lt;$AB$1),$J7/12*AH$5,$AB$1/12*AH$5)</f>
        <v>37.29375</v>
      </c>
      <c r="AI7" s="229">
        <f>$J7/12*AI$5</f>
        <v>82.8036</v>
      </c>
      <c r="AJ7" s="229">
        <f>$J7/12*AJ$5</f>
        <v>540.9835200000001</v>
      </c>
      <c r="AK7" s="229">
        <f>$J7/12*AK$5</f>
        <v>77.835384</v>
      </c>
      <c r="AL7" s="255">
        <f>SUM(AG7:AK7)</f>
        <v>1052.566254</v>
      </c>
    </row>
    <row r="8" spans="1:38" ht="11.25" customHeight="1">
      <c r="A8" s="8">
        <v>2</v>
      </c>
      <c r="B8" s="8">
        <v>28</v>
      </c>
      <c r="C8" s="8"/>
      <c r="D8" s="16">
        <v>1</v>
      </c>
      <c r="E8" s="17">
        <f>VLOOKUP(D8,'A13 - Tabelle'!$A$6:$F$13,6)</f>
        <v>47088.24</v>
      </c>
      <c r="F8" s="17">
        <f>VLOOKUP(D8,'A13 - Tabelle'!$A$6:$G$13,7)</f>
        <v>36235.46</v>
      </c>
      <c r="G8" s="18">
        <f t="shared" si="0"/>
        <v>33715.46</v>
      </c>
      <c r="H8" s="19"/>
      <c r="I8" s="16">
        <v>5</v>
      </c>
      <c r="J8" s="17">
        <f>VLOOKUP(I8,'E13 - Tabelle'!$A$7:$L$18,11)</f>
        <v>66242.88</v>
      </c>
      <c r="K8" s="20">
        <f>VLOOKUP(I8,'E13 - Tabelle'!$A$7:$L$18,12)</f>
        <v>35826.83</v>
      </c>
      <c r="L8" s="28">
        <f t="shared" si="1"/>
        <v>2111.3700000000026</v>
      </c>
      <c r="M8" s="32">
        <f aca="true" t="shared" si="3" ref="M8:M46">L8+M7</f>
        <v>4222.740000000005</v>
      </c>
      <c r="N8" s="8">
        <v>2</v>
      </c>
      <c r="O8" s="8">
        <v>28</v>
      </c>
      <c r="P8" s="47"/>
      <c r="Q8" s="47"/>
      <c r="R8" s="284"/>
      <c r="S8" s="221"/>
      <c r="T8" s="228"/>
      <c r="U8" s="229">
        <f t="shared" si="2"/>
        <v>279.22499999999997</v>
      </c>
      <c r="V8" s="229">
        <f t="shared" si="2"/>
        <v>37.29375</v>
      </c>
      <c r="W8" s="229">
        <f aca="true" t="shared" si="4" ref="W8:Y46">$J8/12*W$5</f>
        <v>82.8036</v>
      </c>
      <c r="X8" s="229">
        <f t="shared" si="4"/>
        <v>540.9835200000001</v>
      </c>
      <c r="Y8" s="229">
        <f t="shared" si="4"/>
        <v>356.05548000000005</v>
      </c>
      <c r="Z8" s="230">
        <f aca="true" t="shared" si="5" ref="Z8:Z46">SUM(U8:Y8)</f>
        <v>1296.3613500000001</v>
      </c>
      <c r="AA8" s="230">
        <f aca="true" t="shared" si="6" ref="AA8:AA46">J8/12</f>
        <v>5520.240000000001</v>
      </c>
      <c r="AB8" s="231">
        <f aca="true" t="shared" si="7" ref="AB8:AB46">AA8+Z8</f>
        <v>6816.601350000001</v>
      </c>
      <c r="AC8" s="232"/>
      <c r="AD8" s="245">
        <f aca="true" t="shared" si="8" ref="AD8:AD46">K8/12</f>
        <v>2985.5691666666667</v>
      </c>
      <c r="AE8" s="246">
        <f aca="true" t="shared" si="9" ref="AE8:AE46">AB8-AD8</f>
        <v>3831.032183333334</v>
      </c>
      <c r="AF8" s="232"/>
      <c r="AG8" s="251">
        <f>IF(($J8&lt;$AB$1),$J8/12*AG$5,$AB$1/12*AG$5)</f>
        <v>313.65000000000003</v>
      </c>
      <c r="AH8" s="251">
        <f>IF(($J8&lt;$AB$1),$J8/12*AH$5,$AB$1/12*AH$5)</f>
        <v>37.29375</v>
      </c>
      <c r="AI8" s="229">
        <f aca="true" t="shared" si="10" ref="AI8:AK46">$J8/12*AI$5</f>
        <v>82.8036</v>
      </c>
      <c r="AJ8" s="229">
        <f t="shared" si="10"/>
        <v>540.9835200000001</v>
      </c>
      <c r="AK8" s="229">
        <f t="shared" si="10"/>
        <v>77.835384</v>
      </c>
      <c r="AL8" s="255">
        <f aca="true" t="shared" si="11" ref="AL8:AL46">SUM(AG8:AK8)</f>
        <v>1052.566254</v>
      </c>
    </row>
    <row r="9" spans="1:38" ht="11.25" customHeight="1">
      <c r="A9" s="8">
        <v>3</v>
      </c>
      <c r="B9" s="8">
        <v>29</v>
      </c>
      <c r="C9" s="8"/>
      <c r="D9" s="16">
        <v>2</v>
      </c>
      <c r="E9" s="17">
        <f>VLOOKUP(D9,'A13 - Tabelle'!$A$6:$F$13,6)</f>
        <v>49409.64</v>
      </c>
      <c r="F9" s="17">
        <f>VLOOKUP(D9,'A13 - Tabelle'!$A$6:$G$13,7)</f>
        <v>37624.24</v>
      </c>
      <c r="G9" s="18">
        <f t="shared" si="0"/>
        <v>35104.24</v>
      </c>
      <c r="H9" s="19"/>
      <c r="I9" s="16">
        <v>5</v>
      </c>
      <c r="J9" s="17">
        <f>VLOOKUP(I9,'E13 - Tabelle'!$A$7:$L$18,11)</f>
        <v>66242.88</v>
      </c>
      <c r="K9" s="20">
        <f>VLOOKUP(I9,'E13 - Tabelle'!$A$7:$L$18,12)</f>
        <v>35826.83</v>
      </c>
      <c r="L9" s="28">
        <f t="shared" si="1"/>
        <v>722.5900000000038</v>
      </c>
      <c r="M9" s="32">
        <f t="shared" si="3"/>
        <v>4945.330000000009</v>
      </c>
      <c r="N9" s="8">
        <v>3</v>
      </c>
      <c r="O9" s="8">
        <v>29</v>
      </c>
      <c r="P9" s="47"/>
      <c r="Q9" s="47"/>
      <c r="R9" s="284"/>
      <c r="S9" s="221"/>
      <c r="T9" s="228"/>
      <c r="U9" s="229">
        <f t="shared" si="2"/>
        <v>279.22499999999997</v>
      </c>
      <c r="V9" s="229">
        <f t="shared" si="2"/>
        <v>37.29375</v>
      </c>
      <c r="W9" s="229">
        <f t="shared" si="4"/>
        <v>82.8036</v>
      </c>
      <c r="X9" s="229">
        <f t="shared" si="4"/>
        <v>540.9835200000001</v>
      </c>
      <c r="Y9" s="229">
        <f t="shared" si="4"/>
        <v>356.05548000000005</v>
      </c>
      <c r="Z9" s="230">
        <f t="shared" si="5"/>
        <v>1296.3613500000001</v>
      </c>
      <c r="AA9" s="230">
        <f t="shared" si="6"/>
        <v>5520.240000000001</v>
      </c>
      <c r="AB9" s="231">
        <f t="shared" si="7"/>
        <v>6816.601350000001</v>
      </c>
      <c r="AC9" s="232"/>
      <c r="AD9" s="245">
        <f t="shared" si="8"/>
        <v>2985.5691666666667</v>
      </c>
      <c r="AE9" s="246">
        <f t="shared" si="9"/>
        <v>3831.032183333334</v>
      </c>
      <c r="AF9" s="232"/>
      <c r="AG9" s="251">
        <f aca="true" t="shared" si="12" ref="AG9:AH46">IF(($J9&lt;$AB$1),$J9/12*AG$5,$AB$1/12*AG$5)</f>
        <v>313.65000000000003</v>
      </c>
      <c r="AH9" s="251">
        <f t="shared" si="12"/>
        <v>37.29375</v>
      </c>
      <c r="AI9" s="229">
        <f t="shared" si="10"/>
        <v>82.8036</v>
      </c>
      <c r="AJ9" s="229">
        <f t="shared" si="10"/>
        <v>540.9835200000001</v>
      </c>
      <c r="AK9" s="229">
        <f t="shared" si="10"/>
        <v>77.835384</v>
      </c>
      <c r="AL9" s="255">
        <f t="shared" si="11"/>
        <v>1052.566254</v>
      </c>
    </row>
    <row r="10" spans="1:38" ht="11.25" customHeight="1">
      <c r="A10" s="8">
        <v>4</v>
      </c>
      <c r="B10" s="8">
        <v>30</v>
      </c>
      <c r="C10" s="8"/>
      <c r="D10" s="16">
        <v>2</v>
      </c>
      <c r="E10" s="17">
        <f>VLOOKUP(D10,'A13 - Tabelle'!$A$6:$F$13,6)</f>
        <v>49409.64</v>
      </c>
      <c r="F10" s="17">
        <f>VLOOKUP(D10,'A13 - Tabelle'!$A$6:$G$13,7)</f>
        <v>37624.24</v>
      </c>
      <c r="G10" s="18">
        <f t="shared" si="0"/>
        <v>35104.24</v>
      </c>
      <c r="H10" s="19"/>
      <c r="I10" s="16">
        <v>5</v>
      </c>
      <c r="J10" s="17">
        <f>VLOOKUP(I10,'E13 - Tabelle'!$A$7:$L$18,11)</f>
        <v>66242.88</v>
      </c>
      <c r="K10" s="20">
        <f>VLOOKUP(I10,'E13 - Tabelle'!$A$7:$L$18,12)</f>
        <v>35826.83</v>
      </c>
      <c r="L10" s="28">
        <f t="shared" si="1"/>
        <v>722.5900000000038</v>
      </c>
      <c r="M10" s="32">
        <f t="shared" si="3"/>
        <v>5667.920000000013</v>
      </c>
      <c r="N10" s="8">
        <v>4</v>
      </c>
      <c r="O10" s="8">
        <v>30</v>
      </c>
      <c r="P10" s="47"/>
      <c r="Q10" s="47"/>
      <c r="R10" s="284"/>
      <c r="S10" s="221"/>
      <c r="T10" s="228"/>
      <c r="U10" s="229">
        <f t="shared" si="2"/>
        <v>279.22499999999997</v>
      </c>
      <c r="V10" s="229">
        <f t="shared" si="2"/>
        <v>37.29375</v>
      </c>
      <c r="W10" s="229">
        <f t="shared" si="4"/>
        <v>82.8036</v>
      </c>
      <c r="X10" s="229">
        <f t="shared" si="4"/>
        <v>540.9835200000001</v>
      </c>
      <c r="Y10" s="229">
        <f t="shared" si="4"/>
        <v>356.05548000000005</v>
      </c>
      <c r="Z10" s="230">
        <f t="shared" si="5"/>
        <v>1296.3613500000001</v>
      </c>
      <c r="AA10" s="230">
        <f t="shared" si="6"/>
        <v>5520.240000000001</v>
      </c>
      <c r="AB10" s="231">
        <f t="shared" si="7"/>
        <v>6816.601350000001</v>
      </c>
      <c r="AC10" s="232"/>
      <c r="AD10" s="245">
        <f t="shared" si="8"/>
        <v>2985.5691666666667</v>
      </c>
      <c r="AE10" s="246">
        <f t="shared" si="9"/>
        <v>3831.032183333334</v>
      </c>
      <c r="AF10" s="232"/>
      <c r="AG10" s="251">
        <f t="shared" si="12"/>
        <v>313.65000000000003</v>
      </c>
      <c r="AH10" s="251">
        <f t="shared" si="12"/>
        <v>37.29375</v>
      </c>
      <c r="AI10" s="229">
        <f t="shared" si="10"/>
        <v>82.8036</v>
      </c>
      <c r="AJ10" s="229">
        <f t="shared" si="10"/>
        <v>540.9835200000001</v>
      </c>
      <c r="AK10" s="229">
        <f t="shared" si="10"/>
        <v>77.835384</v>
      </c>
      <c r="AL10" s="255">
        <f t="shared" si="11"/>
        <v>1052.566254</v>
      </c>
    </row>
    <row r="11" spans="1:38" ht="11.25" customHeight="1">
      <c r="A11" s="8">
        <v>5</v>
      </c>
      <c r="B11" s="8">
        <v>31</v>
      </c>
      <c r="C11" s="8"/>
      <c r="D11" s="16">
        <v>2</v>
      </c>
      <c r="E11" s="17">
        <f>VLOOKUP(D11,'A13 - Tabelle'!$A$6:$F$13,6)</f>
        <v>49409.64</v>
      </c>
      <c r="F11" s="17">
        <f>VLOOKUP(D11,'A13 - Tabelle'!$A$6:$G$13,7)</f>
        <v>37624.24</v>
      </c>
      <c r="G11" s="18">
        <f t="shared" si="0"/>
        <v>35104.24</v>
      </c>
      <c r="H11" s="19"/>
      <c r="I11" s="16">
        <v>5</v>
      </c>
      <c r="J11" s="17">
        <f>VLOOKUP(I11,'E13 - Tabelle'!$A$7:$L$18,11)</f>
        <v>66242.88</v>
      </c>
      <c r="K11" s="20">
        <f>VLOOKUP(I11,'E13 - Tabelle'!$A$7:$L$18,12)</f>
        <v>35826.83</v>
      </c>
      <c r="L11" s="29">
        <f t="shared" si="1"/>
        <v>722.5900000000038</v>
      </c>
      <c r="M11" s="32">
        <f t="shared" si="3"/>
        <v>6390.510000000017</v>
      </c>
      <c r="N11" s="8">
        <v>5</v>
      </c>
      <c r="O11" s="8">
        <v>31</v>
      </c>
      <c r="P11" s="47"/>
      <c r="Q11" s="47"/>
      <c r="R11" s="284"/>
      <c r="S11" s="221"/>
      <c r="T11" s="228"/>
      <c r="U11" s="229">
        <f t="shared" si="2"/>
        <v>279.22499999999997</v>
      </c>
      <c r="V11" s="229">
        <f t="shared" si="2"/>
        <v>37.29375</v>
      </c>
      <c r="W11" s="229">
        <f t="shared" si="4"/>
        <v>82.8036</v>
      </c>
      <c r="X11" s="229">
        <f t="shared" si="4"/>
        <v>540.9835200000001</v>
      </c>
      <c r="Y11" s="229">
        <f t="shared" si="4"/>
        <v>356.05548000000005</v>
      </c>
      <c r="Z11" s="230">
        <f t="shared" si="5"/>
        <v>1296.3613500000001</v>
      </c>
      <c r="AA11" s="230">
        <f t="shared" si="6"/>
        <v>5520.240000000001</v>
      </c>
      <c r="AB11" s="231">
        <f t="shared" si="7"/>
        <v>6816.601350000001</v>
      </c>
      <c r="AC11" s="232"/>
      <c r="AD11" s="245">
        <f t="shared" si="8"/>
        <v>2985.5691666666667</v>
      </c>
      <c r="AE11" s="246">
        <f t="shared" si="9"/>
        <v>3831.032183333334</v>
      </c>
      <c r="AF11" s="232"/>
      <c r="AG11" s="251">
        <f t="shared" si="12"/>
        <v>313.65000000000003</v>
      </c>
      <c r="AH11" s="251">
        <f t="shared" si="12"/>
        <v>37.29375</v>
      </c>
      <c r="AI11" s="229">
        <f t="shared" si="10"/>
        <v>82.8036</v>
      </c>
      <c r="AJ11" s="229">
        <f t="shared" si="10"/>
        <v>540.9835200000001</v>
      </c>
      <c r="AK11" s="229">
        <f t="shared" si="10"/>
        <v>77.835384</v>
      </c>
      <c r="AL11" s="255">
        <f t="shared" si="11"/>
        <v>1052.566254</v>
      </c>
    </row>
    <row r="12" spans="1:38" ht="11.25" customHeight="1">
      <c r="A12" s="8">
        <v>6</v>
      </c>
      <c r="B12" s="8">
        <v>32</v>
      </c>
      <c r="C12" s="8"/>
      <c r="D12" s="16">
        <v>3</v>
      </c>
      <c r="E12" s="17">
        <f>VLOOKUP(D12,'A13 - Tabelle'!$A$6:$F$13,6)</f>
        <v>51730.799999999996</v>
      </c>
      <c r="F12" s="17">
        <f>VLOOKUP(D12,'A13 - Tabelle'!$A$6:$G$13,7)</f>
        <v>38986.4</v>
      </c>
      <c r="G12" s="18">
        <f t="shared" si="0"/>
        <v>36466.4</v>
      </c>
      <c r="H12" s="19"/>
      <c r="I12" s="16">
        <v>5</v>
      </c>
      <c r="J12" s="17">
        <f>VLOOKUP(I12,'E13 - Tabelle'!$A$7:$L$18,11)</f>
        <v>66242.88</v>
      </c>
      <c r="K12" s="20">
        <f>VLOOKUP(I12,'E13 - Tabelle'!$A$7:$L$18,12)</f>
        <v>35826.83</v>
      </c>
      <c r="L12" s="29">
        <f t="shared" si="1"/>
        <v>-639.5699999999997</v>
      </c>
      <c r="M12" s="32">
        <f t="shared" si="3"/>
        <v>5750.940000000017</v>
      </c>
      <c r="N12" s="8">
        <v>6</v>
      </c>
      <c r="O12" s="8">
        <v>32</v>
      </c>
      <c r="P12" s="47"/>
      <c r="Q12" s="47"/>
      <c r="R12" s="284"/>
      <c r="S12" s="221"/>
      <c r="T12" s="228"/>
      <c r="U12" s="229">
        <f t="shared" si="2"/>
        <v>279.22499999999997</v>
      </c>
      <c r="V12" s="229">
        <f t="shared" si="2"/>
        <v>37.29375</v>
      </c>
      <c r="W12" s="229">
        <f t="shared" si="4"/>
        <v>82.8036</v>
      </c>
      <c r="X12" s="229">
        <f t="shared" si="4"/>
        <v>540.9835200000001</v>
      </c>
      <c r="Y12" s="229">
        <f t="shared" si="4"/>
        <v>356.05548000000005</v>
      </c>
      <c r="Z12" s="230">
        <f t="shared" si="5"/>
        <v>1296.3613500000001</v>
      </c>
      <c r="AA12" s="230">
        <f t="shared" si="6"/>
        <v>5520.240000000001</v>
      </c>
      <c r="AB12" s="231">
        <f t="shared" si="7"/>
        <v>6816.601350000001</v>
      </c>
      <c r="AC12" s="232"/>
      <c r="AD12" s="245">
        <f t="shared" si="8"/>
        <v>2985.5691666666667</v>
      </c>
      <c r="AE12" s="246">
        <f t="shared" si="9"/>
        <v>3831.032183333334</v>
      </c>
      <c r="AF12" s="232"/>
      <c r="AG12" s="251">
        <f t="shared" si="12"/>
        <v>313.65000000000003</v>
      </c>
      <c r="AH12" s="251">
        <f t="shared" si="12"/>
        <v>37.29375</v>
      </c>
      <c r="AI12" s="229">
        <f t="shared" si="10"/>
        <v>82.8036</v>
      </c>
      <c r="AJ12" s="229">
        <f t="shared" si="10"/>
        <v>540.9835200000001</v>
      </c>
      <c r="AK12" s="229">
        <f t="shared" si="10"/>
        <v>77.835384</v>
      </c>
      <c r="AL12" s="255">
        <f t="shared" si="11"/>
        <v>1052.566254</v>
      </c>
    </row>
    <row r="13" spans="1:38" ht="11.25" customHeight="1">
      <c r="A13" s="8">
        <v>7</v>
      </c>
      <c r="B13" s="8">
        <v>33</v>
      </c>
      <c r="C13" s="8"/>
      <c r="D13" s="16">
        <v>3</v>
      </c>
      <c r="E13" s="17">
        <f>VLOOKUP(D13,'A13 - Tabelle'!$A$6:$F$13,6)</f>
        <v>51730.799999999996</v>
      </c>
      <c r="F13" s="17">
        <f>VLOOKUP(D13,'A13 - Tabelle'!$A$6:$G$13,7)</f>
        <v>38986.4</v>
      </c>
      <c r="G13" s="18">
        <f t="shared" si="0"/>
        <v>36466.4</v>
      </c>
      <c r="H13" s="19"/>
      <c r="I13" s="16">
        <v>5</v>
      </c>
      <c r="J13" s="17">
        <f>VLOOKUP(I13,'E13 - Tabelle'!$A$7:$L$18,11)</f>
        <v>66242.88</v>
      </c>
      <c r="K13" s="20">
        <f>VLOOKUP(I13,'E13 - Tabelle'!$A$7:$L$18,12)</f>
        <v>35826.83</v>
      </c>
      <c r="L13" s="28">
        <f t="shared" si="1"/>
        <v>-639.5699999999997</v>
      </c>
      <c r="M13" s="32">
        <f t="shared" si="3"/>
        <v>5111.370000000017</v>
      </c>
      <c r="N13" s="8">
        <v>7</v>
      </c>
      <c r="O13" s="8">
        <v>33</v>
      </c>
      <c r="P13" s="47"/>
      <c r="Q13" s="47"/>
      <c r="R13" s="284"/>
      <c r="S13" s="221"/>
      <c r="T13" s="228"/>
      <c r="U13" s="229">
        <f t="shared" si="2"/>
        <v>279.22499999999997</v>
      </c>
      <c r="V13" s="229">
        <f t="shared" si="2"/>
        <v>37.29375</v>
      </c>
      <c r="W13" s="229">
        <f t="shared" si="4"/>
        <v>82.8036</v>
      </c>
      <c r="X13" s="229">
        <f t="shared" si="4"/>
        <v>540.9835200000001</v>
      </c>
      <c r="Y13" s="229">
        <f t="shared" si="4"/>
        <v>356.05548000000005</v>
      </c>
      <c r="Z13" s="230">
        <f t="shared" si="5"/>
        <v>1296.3613500000001</v>
      </c>
      <c r="AA13" s="230">
        <f t="shared" si="6"/>
        <v>5520.240000000001</v>
      </c>
      <c r="AB13" s="231">
        <f t="shared" si="7"/>
        <v>6816.601350000001</v>
      </c>
      <c r="AC13" s="232"/>
      <c r="AD13" s="245">
        <f t="shared" si="8"/>
        <v>2985.5691666666667</v>
      </c>
      <c r="AE13" s="246">
        <f t="shared" si="9"/>
        <v>3831.032183333334</v>
      </c>
      <c r="AF13" s="232"/>
      <c r="AG13" s="251">
        <f t="shared" si="12"/>
        <v>313.65000000000003</v>
      </c>
      <c r="AH13" s="251">
        <f t="shared" si="12"/>
        <v>37.29375</v>
      </c>
      <c r="AI13" s="229">
        <f t="shared" si="10"/>
        <v>82.8036</v>
      </c>
      <c r="AJ13" s="229">
        <f t="shared" si="10"/>
        <v>540.9835200000001</v>
      </c>
      <c r="AK13" s="229">
        <f t="shared" si="10"/>
        <v>77.835384</v>
      </c>
      <c r="AL13" s="255">
        <f t="shared" si="11"/>
        <v>1052.566254</v>
      </c>
    </row>
    <row r="14" spans="1:38" ht="11.25" customHeight="1">
      <c r="A14" s="8">
        <v>8</v>
      </c>
      <c r="B14" s="8">
        <v>34</v>
      </c>
      <c r="C14" s="8"/>
      <c r="D14" s="16">
        <v>3</v>
      </c>
      <c r="E14" s="17">
        <f>VLOOKUP(D14,'A13 - Tabelle'!$A$6:$F$13,6)</f>
        <v>51730.799999999996</v>
      </c>
      <c r="F14" s="17">
        <f>VLOOKUP(D14,'A13 - Tabelle'!$A$6:$G$13,7)</f>
        <v>38986.4</v>
      </c>
      <c r="G14" s="18">
        <f t="shared" si="0"/>
        <v>36466.4</v>
      </c>
      <c r="H14" s="19"/>
      <c r="I14" s="16">
        <v>5</v>
      </c>
      <c r="J14" s="17">
        <f>VLOOKUP(I14,'E13 - Tabelle'!$A$7:$L$18,11)</f>
        <v>66242.88</v>
      </c>
      <c r="K14" s="20">
        <f>VLOOKUP(I14,'E13 - Tabelle'!$A$7:$L$18,12)</f>
        <v>35826.83</v>
      </c>
      <c r="L14" s="28">
        <f t="shared" si="1"/>
        <v>-639.5699999999997</v>
      </c>
      <c r="M14" s="32">
        <f t="shared" si="3"/>
        <v>4471.8000000000175</v>
      </c>
      <c r="N14" s="8">
        <v>8</v>
      </c>
      <c r="O14" s="8">
        <v>34</v>
      </c>
      <c r="P14" s="47"/>
      <c r="Q14" s="47"/>
      <c r="R14" s="284"/>
      <c r="S14" s="221"/>
      <c r="T14" s="228"/>
      <c r="U14" s="229">
        <f t="shared" si="2"/>
        <v>279.22499999999997</v>
      </c>
      <c r="V14" s="229">
        <f t="shared" si="2"/>
        <v>37.29375</v>
      </c>
      <c r="W14" s="229">
        <f t="shared" si="4"/>
        <v>82.8036</v>
      </c>
      <c r="X14" s="229">
        <f t="shared" si="4"/>
        <v>540.9835200000001</v>
      </c>
      <c r="Y14" s="229">
        <f t="shared" si="4"/>
        <v>356.05548000000005</v>
      </c>
      <c r="Z14" s="230">
        <f t="shared" si="5"/>
        <v>1296.3613500000001</v>
      </c>
      <c r="AA14" s="230">
        <f t="shared" si="6"/>
        <v>5520.240000000001</v>
      </c>
      <c r="AB14" s="231">
        <f t="shared" si="7"/>
        <v>6816.601350000001</v>
      </c>
      <c r="AC14" s="232"/>
      <c r="AD14" s="245">
        <f t="shared" si="8"/>
        <v>2985.5691666666667</v>
      </c>
      <c r="AE14" s="246">
        <f t="shared" si="9"/>
        <v>3831.032183333334</v>
      </c>
      <c r="AF14" s="232"/>
      <c r="AG14" s="251">
        <f t="shared" si="12"/>
        <v>313.65000000000003</v>
      </c>
      <c r="AH14" s="251">
        <f t="shared" si="12"/>
        <v>37.29375</v>
      </c>
      <c r="AI14" s="229">
        <f t="shared" si="10"/>
        <v>82.8036</v>
      </c>
      <c r="AJ14" s="229">
        <f t="shared" si="10"/>
        <v>540.9835200000001</v>
      </c>
      <c r="AK14" s="229">
        <f t="shared" si="10"/>
        <v>77.835384</v>
      </c>
      <c r="AL14" s="255">
        <f t="shared" si="11"/>
        <v>1052.566254</v>
      </c>
    </row>
    <row r="15" spans="1:38" ht="11.25" customHeight="1">
      <c r="A15" s="8">
        <v>9</v>
      </c>
      <c r="B15" s="8">
        <v>35</v>
      </c>
      <c r="C15" s="8"/>
      <c r="D15" s="16">
        <v>4</v>
      </c>
      <c r="E15" s="17">
        <f>VLOOKUP(D15,'A13 - Tabelle'!$A$6:$F$13,6)</f>
        <v>54066.240000000005</v>
      </c>
      <c r="F15" s="17">
        <f>VLOOKUP(D15,'A13 - Tabelle'!$A$6:$G$13,7)</f>
        <v>40332.25</v>
      </c>
      <c r="G15" s="18">
        <f t="shared" si="0"/>
        <v>37812.25</v>
      </c>
      <c r="H15" s="19"/>
      <c r="I15" s="16">
        <v>5</v>
      </c>
      <c r="J15" s="17">
        <f>VLOOKUP(I15,'E13 - Tabelle'!$A$7:$L$18,11)</f>
        <v>66242.88</v>
      </c>
      <c r="K15" s="20">
        <f>VLOOKUP(I15,'E13 - Tabelle'!$A$7:$L$18,12)</f>
        <v>35826.83</v>
      </c>
      <c r="L15" s="28">
        <f t="shared" si="1"/>
        <v>-1985.4199999999983</v>
      </c>
      <c r="M15" s="32">
        <f t="shared" si="3"/>
        <v>2486.380000000019</v>
      </c>
      <c r="N15" s="8">
        <v>9</v>
      </c>
      <c r="O15" s="8">
        <v>35</v>
      </c>
      <c r="P15" s="47"/>
      <c r="Q15" s="47"/>
      <c r="R15" s="284"/>
      <c r="S15" s="221"/>
      <c r="T15" s="228"/>
      <c r="U15" s="229">
        <f t="shared" si="2"/>
        <v>279.22499999999997</v>
      </c>
      <c r="V15" s="229">
        <f t="shared" si="2"/>
        <v>37.29375</v>
      </c>
      <c r="W15" s="229">
        <f t="shared" si="4"/>
        <v>82.8036</v>
      </c>
      <c r="X15" s="229">
        <f t="shared" si="4"/>
        <v>540.9835200000001</v>
      </c>
      <c r="Y15" s="229">
        <f t="shared" si="4"/>
        <v>356.05548000000005</v>
      </c>
      <c r="Z15" s="230">
        <f t="shared" si="5"/>
        <v>1296.3613500000001</v>
      </c>
      <c r="AA15" s="230">
        <f t="shared" si="6"/>
        <v>5520.240000000001</v>
      </c>
      <c r="AB15" s="231">
        <f t="shared" si="7"/>
        <v>6816.601350000001</v>
      </c>
      <c r="AC15" s="232"/>
      <c r="AD15" s="245">
        <f t="shared" si="8"/>
        <v>2985.5691666666667</v>
      </c>
      <c r="AE15" s="246">
        <f t="shared" si="9"/>
        <v>3831.032183333334</v>
      </c>
      <c r="AF15" s="232"/>
      <c r="AG15" s="251">
        <f t="shared" si="12"/>
        <v>313.65000000000003</v>
      </c>
      <c r="AH15" s="251">
        <f t="shared" si="12"/>
        <v>37.29375</v>
      </c>
      <c r="AI15" s="229">
        <f t="shared" si="10"/>
        <v>82.8036</v>
      </c>
      <c r="AJ15" s="229">
        <f t="shared" si="10"/>
        <v>540.9835200000001</v>
      </c>
      <c r="AK15" s="229">
        <f t="shared" si="10"/>
        <v>77.835384</v>
      </c>
      <c r="AL15" s="255">
        <f t="shared" si="11"/>
        <v>1052.566254</v>
      </c>
    </row>
    <row r="16" spans="1:38" ht="11.25" customHeight="1">
      <c r="A16" s="8">
        <v>10</v>
      </c>
      <c r="B16" s="8">
        <v>36</v>
      </c>
      <c r="C16" s="8"/>
      <c r="D16" s="16">
        <v>4</v>
      </c>
      <c r="E16" s="17">
        <f>VLOOKUP(D16,'A13 - Tabelle'!$A$6:$F$13,6)</f>
        <v>54066.240000000005</v>
      </c>
      <c r="F16" s="17">
        <f>VLOOKUP(D16,'A13 - Tabelle'!$A$6:$G$13,7)</f>
        <v>40332.25</v>
      </c>
      <c r="G16" s="18">
        <f t="shared" si="0"/>
        <v>37812.25</v>
      </c>
      <c r="H16" s="19"/>
      <c r="I16" s="16">
        <v>5</v>
      </c>
      <c r="J16" s="17">
        <f>VLOOKUP(I16,'E13 - Tabelle'!$A$7:$L$18,11)</f>
        <v>66242.88</v>
      </c>
      <c r="K16" s="20">
        <f>VLOOKUP(I16,'E13 - Tabelle'!$A$7:$L$18,12)</f>
        <v>35826.83</v>
      </c>
      <c r="L16" s="28">
        <f t="shared" si="1"/>
        <v>-1985.4199999999983</v>
      </c>
      <c r="M16" s="32">
        <f t="shared" si="3"/>
        <v>500.96000000002095</v>
      </c>
      <c r="N16" s="8">
        <v>10</v>
      </c>
      <c r="O16" s="8">
        <v>36</v>
      </c>
      <c r="P16" s="47"/>
      <c r="Q16" s="47"/>
      <c r="R16" s="284"/>
      <c r="S16" s="221"/>
      <c r="T16" s="228"/>
      <c r="U16" s="229">
        <f t="shared" si="2"/>
        <v>279.22499999999997</v>
      </c>
      <c r="V16" s="229">
        <f t="shared" si="2"/>
        <v>37.29375</v>
      </c>
      <c r="W16" s="229">
        <f t="shared" si="4"/>
        <v>82.8036</v>
      </c>
      <c r="X16" s="229">
        <f t="shared" si="4"/>
        <v>540.9835200000001</v>
      </c>
      <c r="Y16" s="229">
        <f t="shared" si="4"/>
        <v>356.05548000000005</v>
      </c>
      <c r="Z16" s="230">
        <f t="shared" si="5"/>
        <v>1296.3613500000001</v>
      </c>
      <c r="AA16" s="230">
        <f t="shared" si="6"/>
        <v>5520.240000000001</v>
      </c>
      <c r="AB16" s="231">
        <f t="shared" si="7"/>
        <v>6816.601350000001</v>
      </c>
      <c r="AC16" s="232"/>
      <c r="AD16" s="245">
        <f t="shared" si="8"/>
        <v>2985.5691666666667</v>
      </c>
      <c r="AE16" s="246">
        <f t="shared" si="9"/>
        <v>3831.032183333334</v>
      </c>
      <c r="AF16" s="232"/>
      <c r="AG16" s="251">
        <f t="shared" si="12"/>
        <v>313.65000000000003</v>
      </c>
      <c r="AH16" s="251">
        <f t="shared" si="12"/>
        <v>37.29375</v>
      </c>
      <c r="AI16" s="229">
        <f t="shared" si="10"/>
        <v>82.8036</v>
      </c>
      <c r="AJ16" s="229">
        <f t="shared" si="10"/>
        <v>540.9835200000001</v>
      </c>
      <c r="AK16" s="229">
        <f t="shared" si="10"/>
        <v>77.835384</v>
      </c>
      <c r="AL16" s="255">
        <f t="shared" si="11"/>
        <v>1052.566254</v>
      </c>
    </row>
    <row r="17" spans="1:38" ht="11.25" customHeight="1">
      <c r="A17" s="8">
        <v>11</v>
      </c>
      <c r="B17" s="8">
        <v>37</v>
      </c>
      <c r="C17" s="8"/>
      <c r="D17" s="16">
        <v>4</v>
      </c>
      <c r="E17" s="17">
        <f>VLOOKUP(D17,'A13 - Tabelle'!$A$6:$F$13,6)</f>
        <v>54066.240000000005</v>
      </c>
      <c r="F17" s="17">
        <f>VLOOKUP(D17,'A13 - Tabelle'!$A$6:$G$13,7)</f>
        <v>40332.25</v>
      </c>
      <c r="G17" s="18">
        <f t="shared" si="0"/>
        <v>37812.25</v>
      </c>
      <c r="H17" s="19"/>
      <c r="I17" s="16">
        <v>5</v>
      </c>
      <c r="J17" s="17">
        <f>VLOOKUP(I17,'E13 - Tabelle'!$A$7:$L$18,11)</f>
        <v>66242.88</v>
      </c>
      <c r="K17" s="20">
        <f>VLOOKUP(I17,'E13 - Tabelle'!$A$7:$L$18,12)</f>
        <v>35826.83</v>
      </c>
      <c r="L17" s="28">
        <f t="shared" si="1"/>
        <v>-1985.4199999999983</v>
      </c>
      <c r="M17" s="32">
        <f t="shared" si="3"/>
        <v>-1484.4599999999773</v>
      </c>
      <c r="N17" s="8">
        <v>11</v>
      </c>
      <c r="O17" s="8">
        <v>37</v>
      </c>
      <c r="P17" s="47"/>
      <c r="Q17" s="47"/>
      <c r="R17" s="284"/>
      <c r="S17" s="221"/>
      <c r="T17" s="228"/>
      <c r="U17" s="229">
        <f t="shared" si="2"/>
        <v>279.22499999999997</v>
      </c>
      <c r="V17" s="229">
        <f t="shared" si="2"/>
        <v>37.29375</v>
      </c>
      <c r="W17" s="229">
        <f t="shared" si="4"/>
        <v>82.8036</v>
      </c>
      <c r="X17" s="229">
        <f t="shared" si="4"/>
        <v>540.9835200000001</v>
      </c>
      <c r="Y17" s="229">
        <f t="shared" si="4"/>
        <v>356.05548000000005</v>
      </c>
      <c r="Z17" s="230">
        <f t="shared" si="5"/>
        <v>1296.3613500000001</v>
      </c>
      <c r="AA17" s="230">
        <f t="shared" si="6"/>
        <v>5520.240000000001</v>
      </c>
      <c r="AB17" s="231">
        <f t="shared" si="7"/>
        <v>6816.601350000001</v>
      </c>
      <c r="AC17" s="232"/>
      <c r="AD17" s="245">
        <f t="shared" si="8"/>
        <v>2985.5691666666667</v>
      </c>
      <c r="AE17" s="246">
        <f t="shared" si="9"/>
        <v>3831.032183333334</v>
      </c>
      <c r="AF17" s="232"/>
      <c r="AG17" s="251">
        <f t="shared" si="12"/>
        <v>313.65000000000003</v>
      </c>
      <c r="AH17" s="251">
        <f t="shared" si="12"/>
        <v>37.29375</v>
      </c>
      <c r="AI17" s="229">
        <f t="shared" si="10"/>
        <v>82.8036</v>
      </c>
      <c r="AJ17" s="229">
        <f t="shared" si="10"/>
        <v>540.9835200000001</v>
      </c>
      <c r="AK17" s="229">
        <f t="shared" si="10"/>
        <v>77.835384</v>
      </c>
      <c r="AL17" s="255">
        <f t="shared" si="11"/>
        <v>1052.566254</v>
      </c>
    </row>
    <row r="18" spans="1:38" ht="11.25" customHeight="1">
      <c r="A18" s="8">
        <v>12</v>
      </c>
      <c r="B18" s="8">
        <v>38</v>
      </c>
      <c r="C18" s="8"/>
      <c r="D18" s="16">
        <v>5</v>
      </c>
      <c r="E18" s="17">
        <f>VLOOKUP(D18,'A13 - Tabelle'!$A$6:$F$13,6)</f>
        <v>56257.68000000001</v>
      </c>
      <c r="F18" s="17">
        <f>VLOOKUP(D18,'A13 - Tabelle'!$A$6:$G$13,7)</f>
        <v>41572.08</v>
      </c>
      <c r="G18" s="18">
        <f t="shared" si="0"/>
        <v>39052.08</v>
      </c>
      <c r="H18" s="19"/>
      <c r="I18" s="16">
        <v>5</v>
      </c>
      <c r="J18" s="17">
        <f>VLOOKUP(I18,'E13 - Tabelle'!$A$7:$L$18,11)</f>
        <v>66242.88</v>
      </c>
      <c r="K18" s="20">
        <f>VLOOKUP(I18,'E13 - Tabelle'!$A$7:$L$18,12)</f>
        <v>35826.83</v>
      </c>
      <c r="L18" s="28">
        <f t="shared" si="1"/>
        <v>-3225.25</v>
      </c>
      <c r="M18" s="159">
        <f t="shared" si="3"/>
        <v>-4709.709999999977</v>
      </c>
      <c r="N18" s="8">
        <v>12</v>
      </c>
      <c r="O18" s="8">
        <v>38</v>
      </c>
      <c r="P18" s="47"/>
      <c r="Q18" s="47"/>
      <c r="R18" s="284"/>
      <c r="S18" s="221"/>
      <c r="T18" s="228"/>
      <c r="U18" s="229">
        <f t="shared" si="2"/>
        <v>279.22499999999997</v>
      </c>
      <c r="V18" s="229">
        <f t="shared" si="2"/>
        <v>37.29375</v>
      </c>
      <c r="W18" s="229">
        <f t="shared" si="4"/>
        <v>82.8036</v>
      </c>
      <c r="X18" s="229">
        <f t="shared" si="4"/>
        <v>540.9835200000001</v>
      </c>
      <c r="Y18" s="229">
        <f t="shared" si="4"/>
        <v>356.05548000000005</v>
      </c>
      <c r="Z18" s="230">
        <f t="shared" si="5"/>
        <v>1296.3613500000001</v>
      </c>
      <c r="AA18" s="230">
        <f t="shared" si="6"/>
        <v>5520.240000000001</v>
      </c>
      <c r="AB18" s="231">
        <f t="shared" si="7"/>
        <v>6816.601350000001</v>
      </c>
      <c r="AC18" s="232"/>
      <c r="AD18" s="245">
        <f t="shared" si="8"/>
        <v>2985.5691666666667</v>
      </c>
      <c r="AE18" s="246">
        <f t="shared" si="9"/>
        <v>3831.032183333334</v>
      </c>
      <c r="AF18" s="232"/>
      <c r="AG18" s="251">
        <f t="shared" si="12"/>
        <v>313.65000000000003</v>
      </c>
      <c r="AH18" s="251">
        <f t="shared" si="12"/>
        <v>37.29375</v>
      </c>
      <c r="AI18" s="229">
        <f t="shared" si="10"/>
        <v>82.8036</v>
      </c>
      <c r="AJ18" s="229">
        <f t="shared" si="10"/>
        <v>540.9835200000001</v>
      </c>
      <c r="AK18" s="229">
        <f t="shared" si="10"/>
        <v>77.835384</v>
      </c>
      <c r="AL18" s="255">
        <f t="shared" si="11"/>
        <v>1052.566254</v>
      </c>
    </row>
    <row r="19" spans="1:38" ht="11.25" customHeight="1">
      <c r="A19" s="8">
        <v>13</v>
      </c>
      <c r="B19" s="8">
        <v>39</v>
      </c>
      <c r="C19" s="8"/>
      <c r="D19" s="16">
        <v>5</v>
      </c>
      <c r="E19" s="17">
        <f>VLOOKUP(D19,'A13 - Tabelle'!$A$6:$F$13,6)</f>
        <v>56257.68000000001</v>
      </c>
      <c r="F19" s="17">
        <f>VLOOKUP(D19,'A13 - Tabelle'!$A$6:$G$13,7)</f>
        <v>41572.08</v>
      </c>
      <c r="G19" s="18">
        <f t="shared" si="0"/>
        <v>39052.08</v>
      </c>
      <c r="H19" s="19"/>
      <c r="I19" s="16">
        <v>5</v>
      </c>
      <c r="J19" s="17">
        <f>VLOOKUP(I19,'E13 - Tabelle'!$A$7:$L$18,11)</f>
        <v>66242.88</v>
      </c>
      <c r="K19" s="20">
        <f>VLOOKUP(I19,'E13 - Tabelle'!$A$7:$L$18,12)</f>
        <v>35826.83</v>
      </c>
      <c r="L19" s="28">
        <f t="shared" si="1"/>
        <v>-3225.25</v>
      </c>
      <c r="M19" s="159">
        <f t="shared" si="3"/>
        <v>-7934.959999999977</v>
      </c>
      <c r="N19" s="8">
        <v>13</v>
      </c>
      <c r="O19" s="8">
        <v>39</v>
      </c>
      <c r="P19" s="47"/>
      <c r="Q19" s="47"/>
      <c r="R19" s="284"/>
      <c r="S19" s="221"/>
      <c r="T19" s="228"/>
      <c r="U19" s="229">
        <f t="shared" si="2"/>
        <v>279.22499999999997</v>
      </c>
      <c r="V19" s="229">
        <f t="shared" si="2"/>
        <v>37.29375</v>
      </c>
      <c r="W19" s="229">
        <f t="shared" si="4"/>
        <v>82.8036</v>
      </c>
      <c r="X19" s="229">
        <f t="shared" si="4"/>
        <v>540.9835200000001</v>
      </c>
      <c r="Y19" s="229">
        <f t="shared" si="4"/>
        <v>356.05548000000005</v>
      </c>
      <c r="Z19" s="230">
        <f t="shared" si="5"/>
        <v>1296.3613500000001</v>
      </c>
      <c r="AA19" s="230">
        <f t="shared" si="6"/>
        <v>5520.240000000001</v>
      </c>
      <c r="AB19" s="231">
        <f t="shared" si="7"/>
        <v>6816.601350000001</v>
      </c>
      <c r="AC19" s="232"/>
      <c r="AD19" s="245">
        <f t="shared" si="8"/>
        <v>2985.5691666666667</v>
      </c>
      <c r="AE19" s="246">
        <f t="shared" si="9"/>
        <v>3831.032183333334</v>
      </c>
      <c r="AF19" s="232"/>
      <c r="AG19" s="251">
        <f t="shared" si="12"/>
        <v>313.65000000000003</v>
      </c>
      <c r="AH19" s="251">
        <f t="shared" si="12"/>
        <v>37.29375</v>
      </c>
      <c r="AI19" s="229">
        <f t="shared" si="10"/>
        <v>82.8036</v>
      </c>
      <c r="AJ19" s="229">
        <f t="shared" si="10"/>
        <v>540.9835200000001</v>
      </c>
      <c r="AK19" s="229">
        <f t="shared" si="10"/>
        <v>77.835384</v>
      </c>
      <c r="AL19" s="255">
        <f t="shared" si="11"/>
        <v>1052.566254</v>
      </c>
    </row>
    <row r="20" spans="1:38" ht="11.25" customHeight="1">
      <c r="A20" s="8">
        <v>14</v>
      </c>
      <c r="B20" s="8">
        <v>40</v>
      </c>
      <c r="C20" s="8"/>
      <c r="D20" s="16">
        <v>5</v>
      </c>
      <c r="E20" s="17">
        <f>VLOOKUP(D20,'A13 - Tabelle'!$A$6:$F$13,6)</f>
        <v>56257.68000000001</v>
      </c>
      <c r="F20" s="17">
        <f>VLOOKUP(D20,'A13 - Tabelle'!$A$6:$G$13,7)</f>
        <v>41572.08</v>
      </c>
      <c r="G20" s="18">
        <f t="shared" si="0"/>
        <v>39052.08</v>
      </c>
      <c r="H20" s="19"/>
      <c r="I20" s="16">
        <v>5</v>
      </c>
      <c r="J20" s="17">
        <f>VLOOKUP(I20,'E13 - Tabelle'!$A$7:$L$18,11)</f>
        <v>66242.88</v>
      </c>
      <c r="K20" s="20">
        <f>VLOOKUP(I20,'E13 - Tabelle'!$A$7:$L$18,12)</f>
        <v>35826.83</v>
      </c>
      <c r="L20" s="28">
        <f t="shared" si="1"/>
        <v>-3225.25</v>
      </c>
      <c r="M20" s="32">
        <f t="shared" si="3"/>
        <v>-11160.209999999977</v>
      </c>
      <c r="N20" s="8">
        <v>14</v>
      </c>
      <c r="O20" s="8">
        <v>40</v>
      </c>
      <c r="P20" s="47"/>
      <c r="Q20" s="47"/>
      <c r="R20" s="284"/>
      <c r="S20" s="221"/>
      <c r="T20" s="228"/>
      <c r="U20" s="229">
        <f t="shared" si="2"/>
        <v>279.22499999999997</v>
      </c>
      <c r="V20" s="229">
        <f t="shared" si="2"/>
        <v>37.29375</v>
      </c>
      <c r="W20" s="229">
        <f t="shared" si="4"/>
        <v>82.8036</v>
      </c>
      <c r="X20" s="229">
        <f t="shared" si="4"/>
        <v>540.9835200000001</v>
      </c>
      <c r="Y20" s="229">
        <f t="shared" si="4"/>
        <v>356.05548000000005</v>
      </c>
      <c r="Z20" s="230">
        <f t="shared" si="5"/>
        <v>1296.3613500000001</v>
      </c>
      <c r="AA20" s="230">
        <f t="shared" si="6"/>
        <v>5520.240000000001</v>
      </c>
      <c r="AB20" s="231">
        <f t="shared" si="7"/>
        <v>6816.601350000001</v>
      </c>
      <c r="AC20" s="232"/>
      <c r="AD20" s="245">
        <f t="shared" si="8"/>
        <v>2985.5691666666667</v>
      </c>
      <c r="AE20" s="246">
        <f t="shared" si="9"/>
        <v>3831.032183333334</v>
      </c>
      <c r="AF20" s="232"/>
      <c r="AG20" s="251">
        <f t="shared" si="12"/>
        <v>313.65000000000003</v>
      </c>
      <c r="AH20" s="251">
        <f t="shared" si="12"/>
        <v>37.29375</v>
      </c>
      <c r="AI20" s="229">
        <f t="shared" si="10"/>
        <v>82.8036</v>
      </c>
      <c r="AJ20" s="229">
        <f t="shared" si="10"/>
        <v>540.9835200000001</v>
      </c>
      <c r="AK20" s="229">
        <f t="shared" si="10"/>
        <v>77.835384</v>
      </c>
      <c r="AL20" s="255">
        <f t="shared" si="11"/>
        <v>1052.566254</v>
      </c>
    </row>
    <row r="21" spans="1:38" ht="11.25" customHeight="1">
      <c r="A21" s="8">
        <v>15</v>
      </c>
      <c r="B21" s="8">
        <v>41</v>
      </c>
      <c r="C21" s="8"/>
      <c r="D21" s="16">
        <v>5</v>
      </c>
      <c r="E21" s="17">
        <f>VLOOKUP(D21,'A13 - Tabelle'!$A$6:$F$13,6)</f>
        <v>56257.68000000001</v>
      </c>
      <c r="F21" s="17">
        <f>VLOOKUP(D21,'A13 - Tabelle'!$A$6:$G$13,7)</f>
        <v>41572.08</v>
      </c>
      <c r="G21" s="18">
        <f t="shared" si="0"/>
        <v>39052.08</v>
      </c>
      <c r="H21" s="19"/>
      <c r="I21" s="16">
        <v>5</v>
      </c>
      <c r="J21" s="17">
        <f>VLOOKUP(I21,'E13 - Tabelle'!$A$7:$L$18,11)</f>
        <v>66242.88</v>
      </c>
      <c r="K21" s="20">
        <f>VLOOKUP(I21,'E13 - Tabelle'!$A$7:$L$18,12)</f>
        <v>35826.83</v>
      </c>
      <c r="L21" s="28">
        <f t="shared" si="1"/>
        <v>-3225.25</v>
      </c>
      <c r="M21" s="32">
        <f t="shared" si="3"/>
        <v>-14385.459999999977</v>
      </c>
      <c r="N21" s="8">
        <v>15</v>
      </c>
      <c r="O21" s="8">
        <v>41</v>
      </c>
      <c r="P21" s="47"/>
      <c r="Q21" s="47"/>
      <c r="R21" s="284"/>
      <c r="S21" s="221"/>
      <c r="T21" s="228"/>
      <c r="U21" s="229">
        <f t="shared" si="2"/>
        <v>279.22499999999997</v>
      </c>
      <c r="V21" s="229">
        <f t="shared" si="2"/>
        <v>37.29375</v>
      </c>
      <c r="W21" s="229">
        <f t="shared" si="4"/>
        <v>82.8036</v>
      </c>
      <c r="X21" s="229">
        <f t="shared" si="4"/>
        <v>540.9835200000001</v>
      </c>
      <c r="Y21" s="229">
        <f t="shared" si="4"/>
        <v>356.05548000000005</v>
      </c>
      <c r="Z21" s="230">
        <f t="shared" si="5"/>
        <v>1296.3613500000001</v>
      </c>
      <c r="AA21" s="230">
        <f t="shared" si="6"/>
        <v>5520.240000000001</v>
      </c>
      <c r="AB21" s="231">
        <f t="shared" si="7"/>
        <v>6816.601350000001</v>
      </c>
      <c r="AC21" s="232"/>
      <c r="AD21" s="245">
        <f t="shared" si="8"/>
        <v>2985.5691666666667</v>
      </c>
      <c r="AE21" s="246">
        <f t="shared" si="9"/>
        <v>3831.032183333334</v>
      </c>
      <c r="AF21" s="232"/>
      <c r="AG21" s="251">
        <f t="shared" si="12"/>
        <v>313.65000000000003</v>
      </c>
      <c r="AH21" s="251">
        <f t="shared" si="12"/>
        <v>37.29375</v>
      </c>
      <c r="AI21" s="229">
        <f t="shared" si="10"/>
        <v>82.8036</v>
      </c>
      <c r="AJ21" s="229">
        <f t="shared" si="10"/>
        <v>540.9835200000001</v>
      </c>
      <c r="AK21" s="229">
        <f t="shared" si="10"/>
        <v>77.835384</v>
      </c>
      <c r="AL21" s="255">
        <f t="shared" si="11"/>
        <v>1052.566254</v>
      </c>
    </row>
    <row r="22" spans="1:38" ht="11.25" customHeight="1">
      <c r="A22" s="8">
        <v>16</v>
      </c>
      <c r="B22" s="8">
        <v>42</v>
      </c>
      <c r="C22" s="8"/>
      <c r="D22" s="16">
        <v>6</v>
      </c>
      <c r="E22" s="17">
        <f>VLOOKUP(D22,'A13 - Tabelle'!$A$6:$F$13,6)</f>
        <v>57295.799999999996</v>
      </c>
      <c r="F22" s="17">
        <f>VLOOKUP(D22,'A13 - Tabelle'!$A$6:$G$13,7)</f>
        <v>42151.28</v>
      </c>
      <c r="G22" s="18">
        <f t="shared" si="0"/>
        <v>39631.28</v>
      </c>
      <c r="H22" s="19"/>
      <c r="I22" s="16">
        <v>5</v>
      </c>
      <c r="J22" s="17">
        <f>VLOOKUP(I22,'E13 - Tabelle'!$A$7:$L$18,11)</f>
        <v>66242.88</v>
      </c>
      <c r="K22" s="20">
        <f>VLOOKUP(I22,'E13 - Tabelle'!$A$7:$L$18,12)</f>
        <v>35826.83</v>
      </c>
      <c r="L22" s="28">
        <f t="shared" si="1"/>
        <v>-3804.449999999997</v>
      </c>
      <c r="M22" s="32">
        <f t="shared" si="3"/>
        <v>-18189.909999999974</v>
      </c>
      <c r="N22" s="8">
        <v>16</v>
      </c>
      <c r="O22" s="8">
        <v>42</v>
      </c>
      <c r="P22" s="47"/>
      <c r="Q22" s="47"/>
      <c r="R22" s="284"/>
      <c r="S22" s="221"/>
      <c r="T22" s="228"/>
      <c r="U22" s="229">
        <f t="shared" si="2"/>
        <v>279.22499999999997</v>
      </c>
      <c r="V22" s="229">
        <f t="shared" si="2"/>
        <v>37.29375</v>
      </c>
      <c r="W22" s="229">
        <f t="shared" si="4"/>
        <v>82.8036</v>
      </c>
      <c r="X22" s="229">
        <f t="shared" si="4"/>
        <v>540.9835200000001</v>
      </c>
      <c r="Y22" s="229">
        <f t="shared" si="4"/>
        <v>356.05548000000005</v>
      </c>
      <c r="Z22" s="230">
        <f t="shared" si="5"/>
        <v>1296.3613500000001</v>
      </c>
      <c r="AA22" s="230">
        <f t="shared" si="6"/>
        <v>5520.240000000001</v>
      </c>
      <c r="AB22" s="231">
        <f t="shared" si="7"/>
        <v>6816.601350000001</v>
      </c>
      <c r="AC22" s="232"/>
      <c r="AD22" s="245">
        <f t="shared" si="8"/>
        <v>2985.5691666666667</v>
      </c>
      <c r="AE22" s="246">
        <f t="shared" si="9"/>
        <v>3831.032183333334</v>
      </c>
      <c r="AF22" s="232"/>
      <c r="AG22" s="251">
        <f t="shared" si="12"/>
        <v>313.65000000000003</v>
      </c>
      <c r="AH22" s="251">
        <f t="shared" si="12"/>
        <v>37.29375</v>
      </c>
      <c r="AI22" s="229">
        <f t="shared" si="10"/>
        <v>82.8036</v>
      </c>
      <c r="AJ22" s="229">
        <f t="shared" si="10"/>
        <v>540.9835200000001</v>
      </c>
      <c r="AK22" s="229">
        <f t="shared" si="10"/>
        <v>77.835384</v>
      </c>
      <c r="AL22" s="255">
        <f t="shared" si="11"/>
        <v>1052.566254</v>
      </c>
    </row>
    <row r="23" spans="1:38" ht="11.25" customHeight="1">
      <c r="A23" s="8">
        <v>17</v>
      </c>
      <c r="B23" s="8">
        <v>43</v>
      </c>
      <c r="C23" s="8"/>
      <c r="D23" s="16">
        <v>6</v>
      </c>
      <c r="E23" s="17">
        <f>VLOOKUP(D23,'A13 - Tabelle'!$A$6:$F$13,6)</f>
        <v>57295.799999999996</v>
      </c>
      <c r="F23" s="17">
        <f>VLOOKUP(D23,'A13 - Tabelle'!$A$6:$G$13,7)</f>
        <v>42151.28</v>
      </c>
      <c r="G23" s="18">
        <f t="shared" si="0"/>
        <v>39631.28</v>
      </c>
      <c r="H23" s="19"/>
      <c r="I23" s="16">
        <v>5</v>
      </c>
      <c r="J23" s="17">
        <f>VLOOKUP(I23,'E13 - Tabelle'!$A$7:$L$18,11)</f>
        <v>66242.88</v>
      </c>
      <c r="K23" s="20">
        <f>VLOOKUP(I23,'E13 - Tabelle'!$A$7:$L$18,12)</f>
        <v>35826.83</v>
      </c>
      <c r="L23" s="28">
        <f t="shared" si="1"/>
        <v>-3804.449999999997</v>
      </c>
      <c r="M23" s="32">
        <f t="shared" si="3"/>
        <v>-21994.35999999997</v>
      </c>
      <c r="N23" s="8">
        <v>17</v>
      </c>
      <c r="O23" s="8">
        <v>43</v>
      </c>
      <c r="P23" s="47"/>
      <c r="Q23" s="47"/>
      <c r="R23" s="284"/>
      <c r="S23" s="221"/>
      <c r="T23" s="228"/>
      <c r="U23" s="229">
        <f t="shared" si="2"/>
        <v>279.22499999999997</v>
      </c>
      <c r="V23" s="229">
        <f t="shared" si="2"/>
        <v>37.29375</v>
      </c>
      <c r="W23" s="229">
        <f t="shared" si="4"/>
        <v>82.8036</v>
      </c>
      <c r="X23" s="229">
        <f t="shared" si="4"/>
        <v>540.9835200000001</v>
      </c>
      <c r="Y23" s="229">
        <f t="shared" si="4"/>
        <v>356.05548000000005</v>
      </c>
      <c r="Z23" s="230">
        <f t="shared" si="5"/>
        <v>1296.3613500000001</v>
      </c>
      <c r="AA23" s="230">
        <f t="shared" si="6"/>
        <v>5520.240000000001</v>
      </c>
      <c r="AB23" s="231">
        <f t="shared" si="7"/>
        <v>6816.601350000001</v>
      </c>
      <c r="AC23" s="232"/>
      <c r="AD23" s="245">
        <f t="shared" si="8"/>
        <v>2985.5691666666667</v>
      </c>
      <c r="AE23" s="246">
        <f t="shared" si="9"/>
        <v>3831.032183333334</v>
      </c>
      <c r="AF23" s="232"/>
      <c r="AG23" s="251">
        <f t="shared" si="12"/>
        <v>313.65000000000003</v>
      </c>
      <c r="AH23" s="251">
        <f t="shared" si="12"/>
        <v>37.29375</v>
      </c>
      <c r="AI23" s="229">
        <f t="shared" si="10"/>
        <v>82.8036</v>
      </c>
      <c r="AJ23" s="229">
        <f t="shared" si="10"/>
        <v>540.9835200000001</v>
      </c>
      <c r="AK23" s="229">
        <f t="shared" si="10"/>
        <v>77.835384</v>
      </c>
      <c r="AL23" s="255">
        <f t="shared" si="11"/>
        <v>1052.566254</v>
      </c>
    </row>
    <row r="24" spans="1:38" ht="11.25" customHeight="1">
      <c r="A24" s="8">
        <v>18</v>
      </c>
      <c r="B24" s="8">
        <v>44</v>
      </c>
      <c r="C24" s="8"/>
      <c r="D24" s="16">
        <v>6</v>
      </c>
      <c r="E24" s="17">
        <f>VLOOKUP(D24,'A13 - Tabelle'!$A$6:$F$13,6)</f>
        <v>57295.799999999996</v>
      </c>
      <c r="F24" s="17">
        <f>VLOOKUP(D24,'A13 - Tabelle'!$A$6:$G$13,7)</f>
        <v>42151.28</v>
      </c>
      <c r="G24" s="18">
        <f t="shared" si="0"/>
        <v>39631.28</v>
      </c>
      <c r="H24" s="19"/>
      <c r="I24" s="16">
        <v>5</v>
      </c>
      <c r="J24" s="17">
        <f>VLOOKUP(I24,'E13 - Tabelle'!$A$7:$L$18,11)</f>
        <v>66242.88</v>
      </c>
      <c r="K24" s="20">
        <f>VLOOKUP(I24,'E13 - Tabelle'!$A$7:$L$18,12)</f>
        <v>35826.83</v>
      </c>
      <c r="L24" s="28">
        <f t="shared" si="1"/>
        <v>-3804.449999999997</v>
      </c>
      <c r="M24" s="32">
        <f t="shared" si="3"/>
        <v>-25798.80999999997</v>
      </c>
      <c r="N24" s="8">
        <v>18</v>
      </c>
      <c r="O24" s="8">
        <v>44</v>
      </c>
      <c r="P24" s="47"/>
      <c r="Q24" s="47"/>
      <c r="R24" s="284"/>
      <c r="S24" s="221"/>
      <c r="T24" s="228"/>
      <c r="U24" s="229">
        <f t="shared" si="2"/>
        <v>279.22499999999997</v>
      </c>
      <c r="V24" s="229">
        <f t="shared" si="2"/>
        <v>37.29375</v>
      </c>
      <c r="W24" s="229">
        <f t="shared" si="4"/>
        <v>82.8036</v>
      </c>
      <c r="X24" s="229">
        <f t="shared" si="4"/>
        <v>540.9835200000001</v>
      </c>
      <c r="Y24" s="229">
        <f t="shared" si="4"/>
        <v>356.05548000000005</v>
      </c>
      <c r="Z24" s="230">
        <f t="shared" si="5"/>
        <v>1296.3613500000001</v>
      </c>
      <c r="AA24" s="230">
        <f t="shared" si="6"/>
        <v>5520.240000000001</v>
      </c>
      <c r="AB24" s="231">
        <f t="shared" si="7"/>
        <v>6816.601350000001</v>
      </c>
      <c r="AC24" s="232"/>
      <c r="AD24" s="245">
        <f t="shared" si="8"/>
        <v>2985.5691666666667</v>
      </c>
      <c r="AE24" s="246">
        <f t="shared" si="9"/>
        <v>3831.032183333334</v>
      </c>
      <c r="AF24" s="232"/>
      <c r="AG24" s="251">
        <f t="shared" si="12"/>
        <v>313.65000000000003</v>
      </c>
      <c r="AH24" s="251">
        <f t="shared" si="12"/>
        <v>37.29375</v>
      </c>
      <c r="AI24" s="229">
        <f t="shared" si="10"/>
        <v>82.8036</v>
      </c>
      <c r="AJ24" s="229">
        <f t="shared" si="10"/>
        <v>540.9835200000001</v>
      </c>
      <c r="AK24" s="229">
        <f t="shared" si="10"/>
        <v>77.835384</v>
      </c>
      <c r="AL24" s="255">
        <f t="shared" si="11"/>
        <v>1052.566254</v>
      </c>
    </row>
    <row r="25" spans="1:38" ht="11.25" customHeight="1">
      <c r="A25" s="8">
        <v>19</v>
      </c>
      <c r="B25" s="8">
        <v>45</v>
      </c>
      <c r="C25" s="8"/>
      <c r="D25" s="16">
        <v>6</v>
      </c>
      <c r="E25" s="17">
        <f>VLOOKUP(D25,'A13 - Tabelle'!$A$6:$F$13,6)</f>
        <v>57295.799999999996</v>
      </c>
      <c r="F25" s="17">
        <f>VLOOKUP(D25,'A13 - Tabelle'!$A$6:$G$13,7)</f>
        <v>42151.28</v>
      </c>
      <c r="G25" s="18">
        <f t="shared" si="0"/>
        <v>39631.28</v>
      </c>
      <c r="H25" s="19"/>
      <c r="I25" s="16">
        <v>5</v>
      </c>
      <c r="J25" s="17">
        <f>VLOOKUP(I25,'E13 - Tabelle'!$A$7:$L$18,11)</f>
        <v>66242.88</v>
      </c>
      <c r="K25" s="20">
        <f>VLOOKUP(I25,'E13 - Tabelle'!$A$7:$L$18,12)</f>
        <v>35826.83</v>
      </c>
      <c r="L25" s="28">
        <f t="shared" si="1"/>
        <v>-3804.449999999997</v>
      </c>
      <c r="M25" s="32">
        <f t="shared" si="3"/>
        <v>-29603.259999999966</v>
      </c>
      <c r="N25" s="8">
        <v>19</v>
      </c>
      <c r="O25" s="8">
        <v>45</v>
      </c>
      <c r="P25" s="47"/>
      <c r="Q25" s="47"/>
      <c r="R25" s="284"/>
      <c r="S25" s="221"/>
      <c r="T25" s="228"/>
      <c r="U25" s="229">
        <f t="shared" si="2"/>
        <v>279.22499999999997</v>
      </c>
      <c r="V25" s="229">
        <f t="shared" si="2"/>
        <v>37.29375</v>
      </c>
      <c r="W25" s="229">
        <f t="shared" si="4"/>
        <v>82.8036</v>
      </c>
      <c r="X25" s="229">
        <f t="shared" si="4"/>
        <v>540.9835200000001</v>
      </c>
      <c r="Y25" s="229">
        <f t="shared" si="4"/>
        <v>356.05548000000005</v>
      </c>
      <c r="Z25" s="230">
        <f t="shared" si="5"/>
        <v>1296.3613500000001</v>
      </c>
      <c r="AA25" s="230">
        <f t="shared" si="6"/>
        <v>5520.240000000001</v>
      </c>
      <c r="AB25" s="231">
        <f t="shared" si="7"/>
        <v>6816.601350000001</v>
      </c>
      <c r="AC25" s="232"/>
      <c r="AD25" s="245">
        <f t="shared" si="8"/>
        <v>2985.5691666666667</v>
      </c>
      <c r="AE25" s="246">
        <f t="shared" si="9"/>
        <v>3831.032183333334</v>
      </c>
      <c r="AF25" s="232"/>
      <c r="AG25" s="251">
        <f t="shared" si="12"/>
        <v>313.65000000000003</v>
      </c>
      <c r="AH25" s="251">
        <f t="shared" si="12"/>
        <v>37.29375</v>
      </c>
      <c r="AI25" s="229">
        <f t="shared" si="10"/>
        <v>82.8036</v>
      </c>
      <c r="AJ25" s="229">
        <f t="shared" si="10"/>
        <v>540.9835200000001</v>
      </c>
      <c r="AK25" s="229">
        <f t="shared" si="10"/>
        <v>77.835384</v>
      </c>
      <c r="AL25" s="255">
        <f t="shared" si="11"/>
        <v>1052.566254</v>
      </c>
    </row>
    <row r="26" spans="1:38" ht="11.25" customHeight="1">
      <c r="A26" s="8">
        <v>20</v>
      </c>
      <c r="B26" s="8">
        <v>46</v>
      </c>
      <c r="C26" s="8"/>
      <c r="D26" s="16">
        <v>7</v>
      </c>
      <c r="E26" s="17">
        <f>VLOOKUP(D26,'A13 - Tabelle'!$A$6:$F$13,6)</f>
        <v>59487.12</v>
      </c>
      <c r="F26" s="17">
        <f>VLOOKUP(D26,'A13 - Tabelle'!$A$6:$G$13,7)</f>
        <v>43372</v>
      </c>
      <c r="G26" s="18">
        <f t="shared" si="0"/>
        <v>40852</v>
      </c>
      <c r="H26" s="19"/>
      <c r="I26" s="16">
        <v>5</v>
      </c>
      <c r="J26" s="17">
        <f>VLOOKUP(I26,'E13 - Tabelle'!$A$7:$L$18,11)</f>
        <v>66242.88</v>
      </c>
      <c r="K26" s="20">
        <f>VLOOKUP(I26,'E13 - Tabelle'!$A$7:$L$18,12)</f>
        <v>35826.83</v>
      </c>
      <c r="L26" s="28">
        <f t="shared" si="1"/>
        <v>-5025.169999999998</v>
      </c>
      <c r="M26" s="32">
        <f t="shared" si="3"/>
        <v>-34628.429999999964</v>
      </c>
      <c r="N26" s="8">
        <v>20</v>
      </c>
      <c r="O26" s="8">
        <v>46</v>
      </c>
      <c r="P26" s="47"/>
      <c r="Q26" s="47"/>
      <c r="R26" s="284"/>
      <c r="S26" s="221"/>
      <c r="T26" s="228"/>
      <c r="U26" s="229">
        <f t="shared" si="2"/>
        <v>279.22499999999997</v>
      </c>
      <c r="V26" s="229">
        <f t="shared" si="2"/>
        <v>37.29375</v>
      </c>
      <c r="W26" s="229">
        <f t="shared" si="4"/>
        <v>82.8036</v>
      </c>
      <c r="X26" s="229">
        <f t="shared" si="4"/>
        <v>540.9835200000001</v>
      </c>
      <c r="Y26" s="229">
        <f t="shared" si="4"/>
        <v>356.05548000000005</v>
      </c>
      <c r="Z26" s="230">
        <f t="shared" si="5"/>
        <v>1296.3613500000001</v>
      </c>
      <c r="AA26" s="230">
        <f t="shared" si="6"/>
        <v>5520.240000000001</v>
      </c>
      <c r="AB26" s="231">
        <f t="shared" si="7"/>
        <v>6816.601350000001</v>
      </c>
      <c r="AC26" s="232"/>
      <c r="AD26" s="245">
        <f t="shared" si="8"/>
        <v>2985.5691666666667</v>
      </c>
      <c r="AE26" s="246">
        <f t="shared" si="9"/>
        <v>3831.032183333334</v>
      </c>
      <c r="AF26" s="232"/>
      <c r="AG26" s="251">
        <f t="shared" si="12"/>
        <v>313.65000000000003</v>
      </c>
      <c r="AH26" s="251">
        <f t="shared" si="12"/>
        <v>37.29375</v>
      </c>
      <c r="AI26" s="229">
        <f t="shared" si="10"/>
        <v>82.8036</v>
      </c>
      <c r="AJ26" s="229">
        <f t="shared" si="10"/>
        <v>540.9835200000001</v>
      </c>
      <c r="AK26" s="229">
        <f t="shared" si="10"/>
        <v>77.835384</v>
      </c>
      <c r="AL26" s="255">
        <f t="shared" si="11"/>
        <v>1052.566254</v>
      </c>
    </row>
    <row r="27" spans="1:38" ht="11.25" customHeight="1">
      <c r="A27" s="8">
        <v>21</v>
      </c>
      <c r="B27" s="8">
        <v>47</v>
      </c>
      <c r="C27" s="8"/>
      <c r="D27" s="16">
        <v>7</v>
      </c>
      <c r="E27" s="17">
        <f>VLOOKUP(D27,'A13 - Tabelle'!$A$6:$F$13,6)</f>
        <v>59487.12</v>
      </c>
      <c r="F27" s="17">
        <f>VLOOKUP(D27,'A13 - Tabelle'!$A$6:$G$13,7)</f>
        <v>43372</v>
      </c>
      <c r="G27" s="18">
        <f t="shared" si="0"/>
        <v>40852</v>
      </c>
      <c r="H27" s="19"/>
      <c r="I27" s="16">
        <v>5</v>
      </c>
      <c r="J27" s="17">
        <f>VLOOKUP(I27,'E13 - Tabelle'!$A$7:$L$18,11)</f>
        <v>66242.88</v>
      </c>
      <c r="K27" s="20">
        <f>VLOOKUP(I27,'E13 - Tabelle'!$A$7:$L$18,12)</f>
        <v>35826.83</v>
      </c>
      <c r="L27" s="28">
        <f t="shared" si="1"/>
        <v>-5025.169999999998</v>
      </c>
      <c r="M27" s="32">
        <f t="shared" si="3"/>
        <v>-39653.59999999996</v>
      </c>
      <c r="N27" s="8">
        <v>21</v>
      </c>
      <c r="O27" s="8">
        <v>47</v>
      </c>
      <c r="P27" s="49"/>
      <c r="Q27" s="49"/>
      <c r="R27" s="284"/>
      <c r="S27" s="221"/>
      <c r="T27" s="228"/>
      <c r="U27" s="229">
        <f t="shared" si="2"/>
        <v>279.22499999999997</v>
      </c>
      <c r="V27" s="229">
        <f t="shared" si="2"/>
        <v>37.29375</v>
      </c>
      <c r="W27" s="229">
        <f t="shared" si="4"/>
        <v>82.8036</v>
      </c>
      <c r="X27" s="229">
        <f t="shared" si="4"/>
        <v>540.9835200000001</v>
      </c>
      <c r="Y27" s="229">
        <f t="shared" si="4"/>
        <v>356.05548000000005</v>
      </c>
      <c r="Z27" s="230">
        <f t="shared" si="5"/>
        <v>1296.3613500000001</v>
      </c>
      <c r="AA27" s="230">
        <f t="shared" si="6"/>
        <v>5520.240000000001</v>
      </c>
      <c r="AB27" s="231">
        <f t="shared" si="7"/>
        <v>6816.601350000001</v>
      </c>
      <c r="AC27" s="232"/>
      <c r="AD27" s="245">
        <f t="shared" si="8"/>
        <v>2985.5691666666667</v>
      </c>
      <c r="AE27" s="246">
        <f t="shared" si="9"/>
        <v>3831.032183333334</v>
      </c>
      <c r="AF27" s="232"/>
      <c r="AG27" s="251">
        <f t="shared" si="12"/>
        <v>313.65000000000003</v>
      </c>
      <c r="AH27" s="251">
        <f t="shared" si="12"/>
        <v>37.29375</v>
      </c>
      <c r="AI27" s="229">
        <f t="shared" si="10"/>
        <v>82.8036</v>
      </c>
      <c r="AJ27" s="229">
        <f t="shared" si="10"/>
        <v>540.9835200000001</v>
      </c>
      <c r="AK27" s="229">
        <f t="shared" si="10"/>
        <v>77.835384</v>
      </c>
      <c r="AL27" s="255">
        <f t="shared" si="11"/>
        <v>1052.566254</v>
      </c>
    </row>
    <row r="28" spans="1:38" ht="11.25" customHeight="1">
      <c r="A28" s="8">
        <v>22</v>
      </c>
      <c r="B28" s="8">
        <v>48</v>
      </c>
      <c r="C28" s="8"/>
      <c r="D28" s="16">
        <v>7</v>
      </c>
      <c r="E28" s="17">
        <f>VLOOKUP(D28,'A13 - Tabelle'!$A$6:$F$13,6)</f>
        <v>59487.12</v>
      </c>
      <c r="F28" s="17">
        <f>VLOOKUP(D28,'A13 - Tabelle'!$A$6:$G$13,7)</f>
        <v>43372</v>
      </c>
      <c r="G28" s="18">
        <f t="shared" si="0"/>
        <v>40852</v>
      </c>
      <c r="H28" s="19"/>
      <c r="I28" s="16">
        <v>5</v>
      </c>
      <c r="J28" s="17">
        <f>VLOOKUP(I28,'E13 - Tabelle'!$A$7:$L$18,11)</f>
        <v>66242.88</v>
      </c>
      <c r="K28" s="20">
        <f>VLOOKUP(I28,'E13 - Tabelle'!$A$7:$L$18,12)</f>
        <v>35826.83</v>
      </c>
      <c r="L28" s="28">
        <f t="shared" si="1"/>
        <v>-5025.169999999998</v>
      </c>
      <c r="M28" s="32">
        <f t="shared" si="3"/>
        <v>-44678.76999999996</v>
      </c>
      <c r="N28" s="8">
        <v>22</v>
      </c>
      <c r="O28" s="8">
        <v>48</v>
      </c>
      <c r="P28" s="47"/>
      <c r="Q28" s="47"/>
      <c r="R28" s="284"/>
      <c r="S28" s="221"/>
      <c r="T28" s="228"/>
      <c r="U28" s="229">
        <f t="shared" si="2"/>
        <v>279.22499999999997</v>
      </c>
      <c r="V28" s="229">
        <f t="shared" si="2"/>
        <v>37.29375</v>
      </c>
      <c r="W28" s="229">
        <f t="shared" si="4"/>
        <v>82.8036</v>
      </c>
      <c r="X28" s="229">
        <f t="shared" si="4"/>
        <v>540.9835200000001</v>
      </c>
      <c r="Y28" s="229">
        <f t="shared" si="4"/>
        <v>356.05548000000005</v>
      </c>
      <c r="Z28" s="230">
        <f t="shared" si="5"/>
        <v>1296.3613500000001</v>
      </c>
      <c r="AA28" s="230">
        <f t="shared" si="6"/>
        <v>5520.240000000001</v>
      </c>
      <c r="AB28" s="231">
        <f t="shared" si="7"/>
        <v>6816.601350000001</v>
      </c>
      <c r="AC28" s="232"/>
      <c r="AD28" s="245">
        <f t="shared" si="8"/>
        <v>2985.5691666666667</v>
      </c>
      <c r="AE28" s="246">
        <f t="shared" si="9"/>
        <v>3831.032183333334</v>
      </c>
      <c r="AF28" s="232"/>
      <c r="AG28" s="251">
        <f t="shared" si="12"/>
        <v>313.65000000000003</v>
      </c>
      <c r="AH28" s="251">
        <f t="shared" si="12"/>
        <v>37.29375</v>
      </c>
      <c r="AI28" s="229">
        <f t="shared" si="10"/>
        <v>82.8036</v>
      </c>
      <c r="AJ28" s="229">
        <f t="shared" si="10"/>
        <v>540.9835200000001</v>
      </c>
      <c r="AK28" s="229">
        <f t="shared" si="10"/>
        <v>77.835384</v>
      </c>
      <c r="AL28" s="255">
        <f t="shared" si="11"/>
        <v>1052.566254</v>
      </c>
    </row>
    <row r="29" spans="1:38" ht="11.25" customHeight="1">
      <c r="A29" s="8">
        <v>23</v>
      </c>
      <c r="B29" s="8">
        <v>49</v>
      </c>
      <c r="C29" s="8"/>
      <c r="D29" s="16">
        <v>7</v>
      </c>
      <c r="E29" s="17">
        <f>VLOOKUP(D29,'A13 - Tabelle'!$A$6:$F$13,6)</f>
        <v>59487.12</v>
      </c>
      <c r="F29" s="17">
        <f>VLOOKUP(D29,'A13 - Tabelle'!$A$6:$G$13,7)</f>
        <v>43372</v>
      </c>
      <c r="G29" s="18">
        <f t="shared" si="0"/>
        <v>40852</v>
      </c>
      <c r="H29" s="19"/>
      <c r="I29" s="16">
        <v>5</v>
      </c>
      <c r="J29" s="17">
        <f>VLOOKUP(I29,'E13 - Tabelle'!$A$7:$L$18,11)</f>
        <v>66242.88</v>
      </c>
      <c r="K29" s="20">
        <f>VLOOKUP(I29,'E13 - Tabelle'!$A$7:$L$18,12)</f>
        <v>35826.83</v>
      </c>
      <c r="L29" s="28">
        <f t="shared" si="1"/>
        <v>-5025.169999999998</v>
      </c>
      <c r="M29" s="32">
        <f t="shared" si="3"/>
        <v>-49703.93999999996</v>
      </c>
      <c r="N29" s="8">
        <v>23</v>
      </c>
      <c r="O29" s="8">
        <v>49</v>
      </c>
      <c r="P29" s="47"/>
      <c r="Q29" s="47"/>
      <c r="R29" s="284"/>
      <c r="S29" s="221"/>
      <c r="T29" s="228"/>
      <c r="U29" s="229">
        <f t="shared" si="2"/>
        <v>279.22499999999997</v>
      </c>
      <c r="V29" s="229">
        <f t="shared" si="2"/>
        <v>37.29375</v>
      </c>
      <c r="W29" s="229">
        <f t="shared" si="4"/>
        <v>82.8036</v>
      </c>
      <c r="X29" s="229">
        <f t="shared" si="4"/>
        <v>540.9835200000001</v>
      </c>
      <c r="Y29" s="229">
        <f t="shared" si="4"/>
        <v>356.05548000000005</v>
      </c>
      <c r="Z29" s="230">
        <f t="shared" si="5"/>
        <v>1296.3613500000001</v>
      </c>
      <c r="AA29" s="230">
        <f t="shared" si="6"/>
        <v>5520.240000000001</v>
      </c>
      <c r="AB29" s="231">
        <f t="shared" si="7"/>
        <v>6816.601350000001</v>
      </c>
      <c r="AC29" s="232"/>
      <c r="AD29" s="245">
        <f t="shared" si="8"/>
        <v>2985.5691666666667</v>
      </c>
      <c r="AE29" s="246">
        <f t="shared" si="9"/>
        <v>3831.032183333334</v>
      </c>
      <c r="AF29" s="232"/>
      <c r="AG29" s="251">
        <f t="shared" si="12"/>
        <v>313.65000000000003</v>
      </c>
      <c r="AH29" s="251">
        <f t="shared" si="12"/>
        <v>37.29375</v>
      </c>
      <c r="AI29" s="229">
        <f t="shared" si="10"/>
        <v>82.8036</v>
      </c>
      <c r="AJ29" s="229">
        <f t="shared" si="10"/>
        <v>540.9835200000001</v>
      </c>
      <c r="AK29" s="229">
        <f t="shared" si="10"/>
        <v>77.835384</v>
      </c>
      <c r="AL29" s="255">
        <f t="shared" si="11"/>
        <v>1052.566254</v>
      </c>
    </row>
    <row r="30" spans="1:38" ht="11.25" customHeight="1">
      <c r="A30" s="8">
        <v>24</v>
      </c>
      <c r="B30" s="8">
        <v>50</v>
      </c>
      <c r="C30" s="8"/>
      <c r="D30" s="16">
        <v>8</v>
      </c>
      <c r="E30" s="17">
        <f>VLOOKUP(D30,'A13 - Tabelle'!$A$6:$F$13,6)</f>
        <v>60640.31999999999</v>
      </c>
      <c r="F30" s="17">
        <f>VLOOKUP(D30,'A13 - Tabelle'!$A$6:$G$13,7)</f>
        <v>44013.52</v>
      </c>
      <c r="G30" s="18">
        <f t="shared" si="0"/>
        <v>41493.52</v>
      </c>
      <c r="H30" s="19"/>
      <c r="I30" s="16">
        <v>5</v>
      </c>
      <c r="J30" s="17">
        <f>VLOOKUP(I30,'E13 - Tabelle'!$A$7:$L$18,11)</f>
        <v>66242.88</v>
      </c>
      <c r="K30" s="20">
        <f>VLOOKUP(I30,'E13 - Tabelle'!$A$7:$L$18,12)</f>
        <v>35826.83</v>
      </c>
      <c r="L30" s="28">
        <f t="shared" si="1"/>
        <v>-5666.689999999995</v>
      </c>
      <c r="M30" s="32">
        <f t="shared" si="3"/>
        <v>-55370.629999999954</v>
      </c>
      <c r="N30" s="8">
        <v>24</v>
      </c>
      <c r="O30" s="8">
        <v>50</v>
      </c>
      <c r="P30" s="47"/>
      <c r="Q30" s="47"/>
      <c r="R30" s="284"/>
      <c r="S30" s="221"/>
      <c r="T30" s="228"/>
      <c r="U30" s="229">
        <f t="shared" si="2"/>
        <v>279.22499999999997</v>
      </c>
      <c r="V30" s="229">
        <f t="shared" si="2"/>
        <v>37.29375</v>
      </c>
      <c r="W30" s="229">
        <f t="shared" si="4"/>
        <v>82.8036</v>
      </c>
      <c r="X30" s="229">
        <f t="shared" si="4"/>
        <v>540.9835200000001</v>
      </c>
      <c r="Y30" s="229">
        <f t="shared" si="4"/>
        <v>356.05548000000005</v>
      </c>
      <c r="Z30" s="230">
        <f t="shared" si="5"/>
        <v>1296.3613500000001</v>
      </c>
      <c r="AA30" s="230">
        <f t="shared" si="6"/>
        <v>5520.240000000001</v>
      </c>
      <c r="AB30" s="231">
        <f t="shared" si="7"/>
        <v>6816.601350000001</v>
      </c>
      <c r="AC30" s="232"/>
      <c r="AD30" s="245">
        <f t="shared" si="8"/>
        <v>2985.5691666666667</v>
      </c>
      <c r="AE30" s="246">
        <f t="shared" si="9"/>
        <v>3831.032183333334</v>
      </c>
      <c r="AF30" s="232"/>
      <c r="AG30" s="251">
        <f t="shared" si="12"/>
        <v>313.65000000000003</v>
      </c>
      <c r="AH30" s="251">
        <f t="shared" si="12"/>
        <v>37.29375</v>
      </c>
      <c r="AI30" s="229">
        <f t="shared" si="10"/>
        <v>82.8036</v>
      </c>
      <c r="AJ30" s="229">
        <f t="shared" si="10"/>
        <v>540.9835200000001</v>
      </c>
      <c r="AK30" s="229">
        <f t="shared" si="10"/>
        <v>77.835384</v>
      </c>
      <c r="AL30" s="255">
        <f t="shared" si="11"/>
        <v>1052.566254</v>
      </c>
    </row>
    <row r="31" spans="1:38" ht="11.25" customHeight="1">
      <c r="A31" s="8">
        <v>25</v>
      </c>
      <c r="B31" s="8">
        <v>51</v>
      </c>
      <c r="C31" s="8"/>
      <c r="D31" s="16">
        <v>8</v>
      </c>
      <c r="E31" s="17">
        <f>VLOOKUP(D31,'A13 - Tabelle'!$A$6:$F$13,6)</f>
        <v>60640.31999999999</v>
      </c>
      <c r="F31" s="17">
        <f>VLOOKUP(D31,'A13 - Tabelle'!$A$6:$G$13,7)</f>
        <v>44013.52</v>
      </c>
      <c r="G31" s="18">
        <f t="shared" si="0"/>
        <v>41493.52</v>
      </c>
      <c r="H31" s="19"/>
      <c r="I31" s="16">
        <v>5</v>
      </c>
      <c r="J31" s="17">
        <f>VLOOKUP(I31,'E13 - Tabelle'!$A$7:$L$18,11)</f>
        <v>66242.88</v>
      </c>
      <c r="K31" s="20">
        <f>VLOOKUP(I31,'E13 - Tabelle'!$A$7:$L$18,12)</f>
        <v>35826.83</v>
      </c>
      <c r="L31" s="28">
        <f t="shared" si="1"/>
        <v>-5666.689999999995</v>
      </c>
      <c r="M31" s="32">
        <f t="shared" si="3"/>
        <v>-61037.31999999995</v>
      </c>
      <c r="N31" s="8">
        <v>25</v>
      </c>
      <c r="O31" s="8">
        <v>51</v>
      </c>
      <c r="P31" s="47"/>
      <c r="Q31" s="47"/>
      <c r="R31" s="284"/>
      <c r="S31" s="221"/>
      <c r="T31" s="228"/>
      <c r="U31" s="229">
        <f t="shared" si="2"/>
        <v>279.22499999999997</v>
      </c>
      <c r="V31" s="229">
        <f t="shared" si="2"/>
        <v>37.29375</v>
      </c>
      <c r="W31" s="229">
        <f t="shared" si="4"/>
        <v>82.8036</v>
      </c>
      <c r="X31" s="229">
        <f t="shared" si="4"/>
        <v>540.9835200000001</v>
      </c>
      <c r="Y31" s="229">
        <f t="shared" si="4"/>
        <v>356.05548000000005</v>
      </c>
      <c r="Z31" s="230">
        <f t="shared" si="5"/>
        <v>1296.3613500000001</v>
      </c>
      <c r="AA31" s="230">
        <f t="shared" si="6"/>
        <v>5520.240000000001</v>
      </c>
      <c r="AB31" s="231">
        <f t="shared" si="7"/>
        <v>6816.601350000001</v>
      </c>
      <c r="AC31" s="232"/>
      <c r="AD31" s="245">
        <f t="shared" si="8"/>
        <v>2985.5691666666667</v>
      </c>
      <c r="AE31" s="246">
        <f t="shared" si="9"/>
        <v>3831.032183333334</v>
      </c>
      <c r="AF31" s="232"/>
      <c r="AG31" s="251">
        <f t="shared" si="12"/>
        <v>313.65000000000003</v>
      </c>
      <c r="AH31" s="251">
        <f t="shared" si="12"/>
        <v>37.29375</v>
      </c>
      <c r="AI31" s="229">
        <f t="shared" si="10"/>
        <v>82.8036</v>
      </c>
      <c r="AJ31" s="229">
        <f t="shared" si="10"/>
        <v>540.9835200000001</v>
      </c>
      <c r="AK31" s="229">
        <f t="shared" si="10"/>
        <v>77.835384</v>
      </c>
      <c r="AL31" s="255">
        <f t="shared" si="11"/>
        <v>1052.566254</v>
      </c>
    </row>
    <row r="32" spans="1:38" ht="11.25" customHeight="1">
      <c r="A32" s="8">
        <v>26</v>
      </c>
      <c r="B32" s="8">
        <v>52</v>
      </c>
      <c r="C32" s="8"/>
      <c r="D32" s="16">
        <v>8</v>
      </c>
      <c r="E32" s="17">
        <f>VLOOKUP(D32,'A13 - Tabelle'!$A$6:$F$13,6)</f>
        <v>60640.31999999999</v>
      </c>
      <c r="F32" s="17">
        <f>VLOOKUP(D32,'A13 - Tabelle'!$A$6:$G$13,7)</f>
        <v>44013.52</v>
      </c>
      <c r="G32" s="18">
        <f t="shared" si="0"/>
        <v>41493.52</v>
      </c>
      <c r="H32" s="19"/>
      <c r="I32" s="16">
        <v>5</v>
      </c>
      <c r="J32" s="17">
        <f>VLOOKUP(I32,'E13 - Tabelle'!$A$7:$L$18,11)</f>
        <v>66242.88</v>
      </c>
      <c r="K32" s="20">
        <f>VLOOKUP(I32,'E13 - Tabelle'!$A$7:$L$18,12)</f>
        <v>35826.83</v>
      </c>
      <c r="L32" s="28">
        <f t="shared" si="1"/>
        <v>-5666.689999999995</v>
      </c>
      <c r="M32" s="32">
        <f t="shared" si="3"/>
        <v>-66704.00999999995</v>
      </c>
      <c r="N32" s="8">
        <v>26</v>
      </c>
      <c r="O32" s="8">
        <v>52</v>
      </c>
      <c r="P32" s="47"/>
      <c r="Q32" s="47"/>
      <c r="R32" s="284"/>
      <c r="S32" s="221"/>
      <c r="T32" s="228"/>
      <c r="U32" s="229">
        <f t="shared" si="2"/>
        <v>279.22499999999997</v>
      </c>
      <c r="V32" s="229">
        <f t="shared" si="2"/>
        <v>37.29375</v>
      </c>
      <c r="W32" s="229">
        <f t="shared" si="4"/>
        <v>82.8036</v>
      </c>
      <c r="X32" s="229">
        <f t="shared" si="4"/>
        <v>540.9835200000001</v>
      </c>
      <c r="Y32" s="229">
        <f t="shared" si="4"/>
        <v>356.05548000000005</v>
      </c>
      <c r="Z32" s="230">
        <f t="shared" si="5"/>
        <v>1296.3613500000001</v>
      </c>
      <c r="AA32" s="230">
        <f t="shared" si="6"/>
        <v>5520.240000000001</v>
      </c>
      <c r="AB32" s="231">
        <f t="shared" si="7"/>
        <v>6816.601350000001</v>
      </c>
      <c r="AC32" s="232"/>
      <c r="AD32" s="245">
        <f t="shared" si="8"/>
        <v>2985.5691666666667</v>
      </c>
      <c r="AE32" s="246">
        <f t="shared" si="9"/>
        <v>3831.032183333334</v>
      </c>
      <c r="AF32" s="232"/>
      <c r="AG32" s="251">
        <f t="shared" si="12"/>
        <v>313.65000000000003</v>
      </c>
      <c r="AH32" s="251">
        <f t="shared" si="12"/>
        <v>37.29375</v>
      </c>
      <c r="AI32" s="229">
        <f t="shared" si="10"/>
        <v>82.8036</v>
      </c>
      <c r="AJ32" s="229">
        <f t="shared" si="10"/>
        <v>540.9835200000001</v>
      </c>
      <c r="AK32" s="229">
        <f t="shared" si="10"/>
        <v>77.835384</v>
      </c>
      <c r="AL32" s="255">
        <f t="shared" si="11"/>
        <v>1052.566254</v>
      </c>
    </row>
    <row r="33" spans="1:38" ht="11.25" customHeight="1">
      <c r="A33" s="8">
        <v>27</v>
      </c>
      <c r="B33" s="8">
        <v>53</v>
      </c>
      <c r="C33" s="8"/>
      <c r="D33" s="16">
        <v>8</v>
      </c>
      <c r="E33" s="17">
        <f>VLOOKUP(D33,'A13 - Tabelle'!$A$6:$F$13,6)</f>
        <v>60640.31999999999</v>
      </c>
      <c r="F33" s="17">
        <f>VLOOKUP(D33,'A13 - Tabelle'!$A$6:$G$13,7)</f>
        <v>44013.52</v>
      </c>
      <c r="G33" s="18">
        <f t="shared" si="0"/>
        <v>41493.52</v>
      </c>
      <c r="H33" s="19"/>
      <c r="I33" s="16">
        <v>5</v>
      </c>
      <c r="J33" s="17">
        <f>VLOOKUP(I33,'E13 - Tabelle'!$A$7:$L$18,11)</f>
        <v>66242.88</v>
      </c>
      <c r="K33" s="20">
        <f>VLOOKUP(I33,'E13 - Tabelle'!$A$7:$L$18,12)</f>
        <v>35826.83</v>
      </c>
      <c r="L33" s="28">
        <f t="shared" si="1"/>
        <v>-5666.689999999995</v>
      </c>
      <c r="M33" s="32">
        <f t="shared" si="3"/>
        <v>-72370.69999999995</v>
      </c>
      <c r="N33" s="8">
        <v>27</v>
      </c>
      <c r="O33" s="8">
        <v>53</v>
      </c>
      <c r="P33" s="47"/>
      <c r="Q33" s="47"/>
      <c r="R33" s="284"/>
      <c r="S33" s="221"/>
      <c r="T33" s="228"/>
      <c r="U33" s="229">
        <f t="shared" si="2"/>
        <v>279.22499999999997</v>
      </c>
      <c r="V33" s="229">
        <f t="shared" si="2"/>
        <v>37.29375</v>
      </c>
      <c r="W33" s="229">
        <f t="shared" si="4"/>
        <v>82.8036</v>
      </c>
      <c r="X33" s="229">
        <f t="shared" si="4"/>
        <v>540.9835200000001</v>
      </c>
      <c r="Y33" s="229">
        <f t="shared" si="4"/>
        <v>356.05548000000005</v>
      </c>
      <c r="Z33" s="230">
        <f t="shared" si="5"/>
        <v>1296.3613500000001</v>
      </c>
      <c r="AA33" s="230">
        <f t="shared" si="6"/>
        <v>5520.240000000001</v>
      </c>
      <c r="AB33" s="231">
        <f t="shared" si="7"/>
        <v>6816.601350000001</v>
      </c>
      <c r="AC33" s="232"/>
      <c r="AD33" s="245">
        <f t="shared" si="8"/>
        <v>2985.5691666666667</v>
      </c>
      <c r="AE33" s="246">
        <f t="shared" si="9"/>
        <v>3831.032183333334</v>
      </c>
      <c r="AF33" s="232"/>
      <c r="AG33" s="251">
        <f t="shared" si="12"/>
        <v>313.65000000000003</v>
      </c>
      <c r="AH33" s="251">
        <f t="shared" si="12"/>
        <v>37.29375</v>
      </c>
      <c r="AI33" s="229">
        <f t="shared" si="10"/>
        <v>82.8036</v>
      </c>
      <c r="AJ33" s="229">
        <f t="shared" si="10"/>
        <v>540.9835200000001</v>
      </c>
      <c r="AK33" s="229">
        <f t="shared" si="10"/>
        <v>77.835384</v>
      </c>
      <c r="AL33" s="255">
        <f t="shared" si="11"/>
        <v>1052.566254</v>
      </c>
    </row>
    <row r="34" spans="1:38" ht="11.25" customHeight="1">
      <c r="A34" s="8">
        <v>28</v>
      </c>
      <c r="B34" s="8">
        <v>54</v>
      </c>
      <c r="C34" s="8"/>
      <c r="D34" s="16">
        <v>8</v>
      </c>
      <c r="E34" s="17">
        <f>VLOOKUP(D34,'A13 - Tabelle'!$A$6:$F$13,6)</f>
        <v>60640.31999999999</v>
      </c>
      <c r="F34" s="17">
        <f>VLOOKUP(D34,'A13 - Tabelle'!$A$6:$G$13,7)</f>
        <v>44013.52</v>
      </c>
      <c r="G34" s="18">
        <f t="shared" si="0"/>
        <v>41493.52</v>
      </c>
      <c r="H34" s="19"/>
      <c r="I34" s="16">
        <v>5</v>
      </c>
      <c r="J34" s="17">
        <f>VLOOKUP(I34,'E13 - Tabelle'!$A$7:$L$18,11)</f>
        <v>66242.88</v>
      </c>
      <c r="K34" s="20">
        <f>VLOOKUP(I34,'E13 - Tabelle'!$A$7:$L$18,12)</f>
        <v>35826.83</v>
      </c>
      <c r="L34" s="28">
        <f t="shared" si="1"/>
        <v>-5666.689999999995</v>
      </c>
      <c r="M34" s="32">
        <f t="shared" si="3"/>
        <v>-78037.38999999996</v>
      </c>
      <c r="N34" s="8">
        <v>28</v>
      </c>
      <c r="O34" s="8">
        <v>54</v>
      </c>
      <c r="P34" s="47"/>
      <c r="Q34" s="47"/>
      <c r="R34" s="284"/>
      <c r="S34" s="221"/>
      <c r="T34" s="228"/>
      <c r="U34" s="229">
        <f t="shared" si="2"/>
        <v>279.22499999999997</v>
      </c>
      <c r="V34" s="229">
        <f t="shared" si="2"/>
        <v>37.29375</v>
      </c>
      <c r="W34" s="229">
        <f t="shared" si="4"/>
        <v>82.8036</v>
      </c>
      <c r="X34" s="229">
        <f t="shared" si="4"/>
        <v>540.9835200000001</v>
      </c>
      <c r="Y34" s="229">
        <f t="shared" si="4"/>
        <v>356.05548000000005</v>
      </c>
      <c r="Z34" s="230">
        <f t="shared" si="5"/>
        <v>1296.3613500000001</v>
      </c>
      <c r="AA34" s="230">
        <f t="shared" si="6"/>
        <v>5520.240000000001</v>
      </c>
      <c r="AB34" s="231">
        <f t="shared" si="7"/>
        <v>6816.601350000001</v>
      </c>
      <c r="AC34" s="232"/>
      <c r="AD34" s="245">
        <f t="shared" si="8"/>
        <v>2985.5691666666667</v>
      </c>
      <c r="AE34" s="246">
        <f t="shared" si="9"/>
        <v>3831.032183333334</v>
      </c>
      <c r="AF34" s="232"/>
      <c r="AG34" s="251">
        <f t="shared" si="12"/>
        <v>313.65000000000003</v>
      </c>
      <c r="AH34" s="251">
        <f t="shared" si="12"/>
        <v>37.29375</v>
      </c>
      <c r="AI34" s="229">
        <f t="shared" si="10"/>
        <v>82.8036</v>
      </c>
      <c r="AJ34" s="229">
        <f t="shared" si="10"/>
        <v>540.9835200000001</v>
      </c>
      <c r="AK34" s="229">
        <f t="shared" si="10"/>
        <v>77.835384</v>
      </c>
      <c r="AL34" s="255">
        <f t="shared" si="11"/>
        <v>1052.566254</v>
      </c>
    </row>
    <row r="35" spans="1:38" ht="11.25" customHeight="1">
      <c r="A35" s="8">
        <v>29</v>
      </c>
      <c r="B35" s="8">
        <v>55</v>
      </c>
      <c r="C35" s="8"/>
      <c r="D35" s="16">
        <v>8</v>
      </c>
      <c r="E35" s="17">
        <f>VLOOKUP(D35,'A13 - Tabelle'!$A$6:$F$13,6)</f>
        <v>60640.31999999999</v>
      </c>
      <c r="F35" s="17">
        <f>VLOOKUP(D35,'A13 - Tabelle'!$A$6:$G$13,7)</f>
        <v>44013.52</v>
      </c>
      <c r="G35" s="18">
        <f t="shared" si="0"/>
        <v>41493.52</v>
      </c>
      <c r="H35" s="19"/>
      <c r="I35" s="16">
        <v>5</v>
      </c>
      <c r="J35" s="17">
        <f>VLOOKUP(I35,'E13 - Tabelle'!$A$7:$L$18,11)</f>
        <v>66242.88</v>
      </c>
      <c r="K35" s="20">
        <f>VLOOKUP(I35,'E13 - Tabelle'!$A$7:$L$18,12)</f>
        <v>35826.83</v>
      </c>
      <c r="L35" s="28">
        <f t="shared" si="1"/>
        <v>-5666.689999999995</v>
      </c>
      <c r="M35" s="32">
        <f t="shared" si="3"/>
        <v>-83704.07999999996</v>
      </c>
      <c r="N35" s="8">
        <v>29</v>
      </c>
      <c r="O35" s="8">
        <v>55</v>
      </c>
      <c r="P35" s="47"/>
      <c r="Q35" s="47"/>
      <c r="R35" s="284"/>
      <c r="S35" s="221"/>
      <c r="T35" s="228"/>
      <c r="U35" s="229">
        <f t="shared" si="2"/>
        <v>279.22499999999997</v>
      </c>
      <c r="V35" s="229">
        <f t="shared" si="2"/>
        <v>37.29375</v>
      </c>
      <c r="W35" s="229">
        <f t="shared" si="4"/>
        <v>82.8036</v>
      </c>
      <c r="X35" s="229">
        <f t="shared" si="4"/>
        <v>540.9835200000001</v>
      </c>
      <c r="Y35" s="229">
        <f t="shared" si="4"/>
        <v>356.05548000000005</v>
      </c>
      <c r="Z35" s="230">
        <f t="shared" si="5"/>
        <v>1296.3613500000001</v>
      </c>
      <c r="AA35" s="230">
        <f t="shared" si="6"/>
        <v>5520.240000000001</v>
      </c>
      <c r="AB35" s="231">
        <f t="shared" si="7"/>
        <v>6816.601350000001</v>
      </c>
      <c r="AC35" s="232"/>
      <c r="AD35" s="245">
        <f t="shared" si="8"/>
        <v>2985.5691666666667</v>
      </c>
      <c r="AE35" s="246">
        <f t="shared" si="9"/>
        <v>3831.032183333334</v>
      </c>
      <c r="AF35" s="232"/>
      <c r="AG35" s="251">
        <f t="shared" si="12"/>
        <v>313.65000000000003</v>
      </c>
      <c r="AH35" s="251">
        <f t="shared" si="12"/>
        <v>37.29375</v>
      </c>
      <c r="AI35" s="229">
        <f t="shared" si="10"/>
        <v>82.8036</v>
      </c>
      <c r="AJ35" s="229">
        <f t="shared" si="10"/>
        <v>540.9835200000001</v>
      </c>
      <c r="AK35" s="229">
        <f t="shared" si="10"/>
        <v>77.835384</v>
      </c>
      <c r="AL35" s="255">
        <f t="shared" si="11"/>
        <v>1052.566254</v>
      </c>
    </row>
    <row r="36" spans="1:38" ht="11.25" customHeight="1">
      <c r="A36" s="8">
        <v>30</v>
      </c>
      <c r="B36" s="8">
        <v>56</v>
      </c>
      <c r="C36" s="8"/>
      <c r="D36" s="16">
        <v>8</v>
      </c>
      <c r="E36" s="17">
        <f>VLOOKUP(D36,'A13 - Tabelle'!$A$6:$F$13,6)</f>
        <v>60640.31999999999</v>
      </c>
      <c r="F36" s="17">
        <f>VLOOKUP(D36,'A13 - Tabelle'!$A$6:$G$13,7)</f>
        <v>44013.52</v>
      </c>
      <c r="G36" s="18">
        <f t="shared" si="0"/>
        <v>41493.52</v>
      </c>
      <c r="H36" s="19"/>
      <c r="I36" s="16">
        <v>5</v>
      </c>
      <c r="J36" s="17">
        <f>VLOOKUP(I36,'E13 - Tabelle'!$A$7:$L$18,11)</f>
        <v>66242.88</v>
      </c>
      <c r="K36" s="20">
        <f>VLOOKUP(I36,'E13 - Tabelle'!$A$7:$L$18,12)</f>
        <v>35826.83</v>
      </c>
      <c r="L36" s="28">
        <f t="shared" si="1"/>
        <v>-5666.689999999995</v>
      </c>
      <c r="M36" s="32">
        <f t="shared" si="3"/>
        <v>-89370.76999999996</v>
      </c>
      <c r="N36" s="8">
        <v>30</v>
      </c>
      <c r="O36" s="8">
        <v>56</v>
      </c>
      <c r="P36" s="47"/>
      <c r="Q36" s="47"/>
      <c r="R36" s="284"/>
      <c r="S36" s="221"/>
      <c r="T36" s="228"/>
      <c r="U36" s="229">
        <f t="shared" si="2"/>
        <v>279.22499999999997</v>
      </c>
      <c r="V36" s="229">
        <f t="shared" si="2"/>
        <v>37.29375</v>
      </c>
      <c r="W36" s="229">
        <f t="shared" si="4"/>
        <v>82.8036</v>
      </c>
      <c r="X36" s="229">
        <f t="shared" si="4"/>
        <v>540.9835200000001</v>
      </c>
      <c r="Y36" s="229">
        <f t="shared" si="4"/>
        <v>356.05548000000005</v>
      </c>
      <c r="Z36" s="230">
        <f t="shared" si="5"/>
        <v>1296.3613500000001</v>
      </c>
      <c r="AA36" s="230">
        <f t="shared" si="6"/>
        <v>5520.240000000001</v>
      </c>
      <c r="AB36" s="231">
        <f t="shared" si="7"/>
        <v>6816.601350000001</v>
      </c>
      <c r="AC36" s="232"/>
      <c r="AD36" s="245">
        <f t="shared" si="8"/>
        <v>2985.5691666666667</v>
      </c>
      <c r="AE36" s="246">
        <f t="shared" si="9"/>
        <v>3831.032183333334</v>
      </c>
      <c r="AF36" s="232"/>
      <c r="AG36" s="251">
        <f t="shared" si="12"/>
        <v>313.65000000000003</v>
      </c>
      <c r="AH36" s="251">
        <f t="shared" si="12"/>
        <v>37.29375</v>
      </c>
      <c r="AI36" s="229">
        <f t="shared" si="10"/>
        <v>82.8036</v>
      </c>
      <c r="AJ36" s="229">
        <f t="shared" si="10"/>
        <v>540.9835200000001</v>
      </c>
      <c r="AK36" s="229">
        <f t="shared" si="10"/>
        <v>77.835384</v>
      </c>
      <c r="AL36" s="255">
        <f t="shared" si="11"/>
        <v>1052.566254</v>
      </c>
    </row>
    <row r="37" spans="1:38" ht="11.25" customHeight="1">
      <c r="A37" s="8">
        <v>31</v>
      </c>
      <c r="B37" s="8">
        <v>57</v>
      </c>
      <c r="C37" s="8"/>
      <c r="D37" s="16">
        <v>8</v>
      </c>
      <c r="E37" s="17">
        <f>VLOOKUP(D37,'A13 - Tabelle'!$A$6:$F$13,6)</f>
        <v>60640.31999999999</v>
      </c>
      <c r="F37" s="17">
        <f>VLOOKUP(D37,'A13 - Tabelle'!$A$6:$G$13,7)</f>
        <v>44013.52</v>
      </c>
      <c r="G37" s="18">
        <f t="shared" si="0"/>
        <v>41493.52</v>
      </c>
      <c r="H37" s="19"/>
      <c r="I37" s="16">
        <v>5</v>
      </c>
      <c r="J37" s="17">
        <f>VLOOKUP(I37,'E13 - Tabelle'!$A$7:$L$18,11)</f>
        <v>66242.88</v>
      </c>
      <c r="K37" s="20">
        <f>VLOOKUP(I37,'E13 - Tabelle'!$A$7:$L$18,12)</f>
        <v>35826.83</v>
      </c>
      <c r="L37" s="28">
        <f t="shared" si="1"/>
        <v>-5666.689999999995</v>
      </c>
      <c r="M37" s="32">
        <f t="shared" si="3"/>
        <v>-95037.45999999996</v>
      </c>
      <c r="N37" s="8">
        <v>31</v>
      </c>
      <c r="O37" s="8">
        <v>57</v>
      </c>
      <c r="P37" s="47"/>
      <c r="Q37" s="47"/>
      <c r="R37" s="284"/>
      <c r="S37" s="221"/>
      <c r="T37" s="228"/>
      <c r="U37" s="229">
        <f t="shared" si="2"/>
        <v>279.22499999999997</v>
      </c>
      <c r="V37" s="229">
        <f t="shared" si="2"/>
        <v>37.29375</v>
      </c>
      <c r="W37" s="229">
        <f t="shared" si="4"/>
        <v>82.8036</v>
      </c>
      <c r="X37" s="229">
        <f t="shared" si="4"/>
        <v>540.9835200000001</v>
      </c>
      <c r="Y37" s="229">
        <f t="shared" si="4"/>
        <v>356.05548000000005</v>
      </c>
      <c r="Z37" s="230">
        <f t="shared" si="5"/>
        <v>1296.3613500000001</v>
      </c>
      <c r="AA37" s="230">
        <f t="shared" si="6"/>
        <v>5520.240000000001</v>
      </c>
      <c r="AB37" s="231">
        <f t="shared" si="7"/>
        <v>6816.601350000001</v>
      </c>
      <c r="AC37" s="232"/>
      <c r="AD37" s="245">
        <f t="shared" si="8"/>
        <v>2985.5691666666667</v>
      </c>
      <c r="AE37" s="246">
        <f t="shared" si="9"/>
        <v>3831.032183333334</v>
      </c>
      <c r="AF37" s="232"/>
      <c r="AG37" s="251">
        <f t="shared" si="12"/>
        <v>313.65000000000003</v>
      </c>
      <c r="AH37" s="251">
        <f t="shared" si="12"/>
        <v>37.29375</v>
      </c>
      <c r="AI37" s="229">
        <f t="shared" si="10"/>
        <v>82.8036</v>
      </c>
      <c r="AJ37" s="229">
        <f t="shared" si="10"/>
        <v>540.9835200000001</v>
      </c>
      <c r="AK37" s="229">
        <f t="shared" si="10"/>
        <v>77.835384</v>
      </c>
      <c r="AL37" s="255">
        <f t="shared" si="11"/>
        <v>1052.566254</v>
      </c>
    </row>
    <row r="38" spans="1:38" ht="11.25" customHeight="1">
      <c r="A38" s="8">
        <v>32</v>
      </c>
      <c r="B38" s="8">
        <v>58</v>
      </c>
      <c r="C38" s="8"/>
      <c r="D38" s="16">
        <v>8</v>
      </c>
      <c r="E38" s="17">
        <f>VLOOKUP(D38,'A13 - Tabelle'!$A$6:$F$13,6)</f>
        <v>60640.31999999999</v>
      </c>
      <c r="F38" s="17">
        <f>VLOOKUP(D38,'A13 - Tabelle'!$A$6:$G$13,7)</f>
        <v>44013.52</v>
      </c>
      <c r="G38" s="18">
        <f t="shared" si="0"/>
        <v>41493.52</v>
      </c>
      <c r="H38" s="19"/>
      <c r="I38" s="16">
        <v>5</v>
      </c>
      <c r="J38" s="17">
        <f>VLOOKUP(I38,'E13 - Tabelle'!$A$7:$L$18,11)</f>
        <v>66242.88</v>
      </c>
      <c r="K38" s="20">
        <f>VLOOKUP(I38,'E13 - Tabelle'!$A$7:$L$18,12)</f>
        <v>35826.83</v>
      </c>
      <c r="L38" s="28">
        <f t="shared" si="1"/>
        <v>-5666.689999999995</v>
      </c>
      <c r="M38" s="32">
        <f t="shared" si="3"/>
        <v>-100704.14999999997</v>
      </c>
      <c r="N38" s="8">
        <v>32</v>
      </c>
      <c r="O38" s="8">
        <v>58</v>
      </c>
      <c r="P38" s="47"/>
      <c r="Q38" s="47"/>
      <c r="R38" s="284"/>
      <c r="S38" s="221"/>
      <c r="T38" s="228"/>
      <c r="U38" s="229">
        <f t="shared" si="2"/>
        <v>279.22499999999997</v>
      </c>
      <c r="V38" s="229">
        <f t="shared" si="2"/>
        <v>37.29375</v>
      </c>
      <c r="W38" s="229">
        <f t="shared" si="4"/>
        <v>82.8036</v>
      </c>
      <c r="X38" s="229">
        <f t="shared" si="4"/>
        <v>540.9835200000001</v>
      </c>
      <c r="Y38" s="229">
        <f t="shared" si="4"/>
        <v>356.05548000000005</v>
      </c>
      <c r="Z38" s="230">
        <f t="shared" si="5"/>
        <v>1296.3613500000001</v>
      </c>
      <c r="AA38" s="230">
        <f t="shared" si="6"/>
        <v>5520.240000000001</v>
      </c>
      <c r="AB38" s="231">
        <f t="shared" si="7"/>
        <v>6816.601350000001</v>
      </c>
      <c r="AC38" s="232"/>
      <c r="AD38" s="245">
        <f t="shared" si="8"/>
        <v>2985.5691666666667</v>
      </c>
      <c r="AE38" s="246">
        <f t="shared" si="9"/>
        <v>3831.032183333334</v>
      </c>
      <c r="AF38" s="232"/>
      <c r="AG38" s="251">
        <f t="shared" si="12"/>
        <v>313.65000000000003</v>
      </c>
      <c r="AH38" s="251">
        <f t="shared" si="12"/>
        <v>37.29375</v>
      </c>
      <c r="AI38" s="229">
        <f t="shared" si="10"/>
        <v>82.8036</v>
      </c>
      <c r="AJ38" s="229">
        <f t="shared" si="10"/>
        <v>540.9835200000001</v>
      </c>
      <c r="AK38" s="229">
        <f t="shared" si="10"/>
        <v>77.835384</v>
      </c>
      <c r="AL38" s="255">
        <f t="shared" si="11"/>
        <v>1052.566254</v>
      </c>
    </row>
    <row r="39" spans="1:38" ht="11.25" customHeight="1">
      <c r="A39" s="8">
        <v>33</v>
      </c>
      <c r="B39" s="8">
        <v>59</v>
      </c>
      <c r="C39" s="8"/>
      <c r="D39" s="16">
        <v>8</v>
      </c>
      <c r="E39" s="17">
        <f>VLOOKUP(D39,'A13 - Tabelle'!$A$6:$F$13,6)</f>
        <v>60640.31999999999</v>
      </c>
      <c r="F39" s="17">
        <f>VLOOKUP(D39,'A13 - Tabelle'!$A$6:$G$13,7)</f>
        <v>44013.52</v>
      </c>
      <c r="G39" s="18">
        <f t="shared" si="0"/>
        <v>41493.52</v>
      </c>
      <c r="H39" s="19"/>
      <c r="I39" s="16">
        <v>5</v>
      </c>
      <c r="J39" s="17">
        <f>VLOOKUP(I39,'E13 - Tabelle'!$A$7:$L$18,11)</f>
        <v>66242.88</v>
      </c>
      <c r="K39" s="20">
        <f>VLOOKUP(I39,'E13 - Tabelle'!$A$7:$L$18,12)</f>
        <v>35826.83</v>
      </c>
      <c r="L39" s="28">
        <f t="shared" si="1"/>
        <v>-5666.689999999995</v>
      </c>
      <c r="M39" s="32">
        <f t="shared" si="3"/>
        <v>-106370.83999999997</v>
      </c>
      <c r="N39" s="8">
        <v>33</v>
      </c>
      <c r="O39" s="8">
        <v>59</v>
      </c>
      <c r="P39" s="47"/>
      <c r="Q39" s="47"/>
      <c r="R39" s="284"/>
      <c r="S39" s="221"/>
      <c r="T39" s="228"/>
      <c r="U39" s="229">
        <f t="shared" si="2"/>
        <v>279.22499999999997</v>
      </c>
      <c r="V39" s="229">
        <f t="shared" si="2"/>
        <v>37.29375</v>
      </c>
      <c r="W39" s="229">
        <f t="shared" si="4"/>
        <v>82.8036</v>
      </c>
      <c r="X39" s="229">
        <f t="shared" si="4"/>
        <v>540.9835200000001</v>
      </c>
      <c r="Y39" s="229">
        <f t="shared" si="4"/>
        <v>356.05548000000005</v>
      </c>
      <c r="Z39" s="230">
        <f t="shared" si="5"/>
        <v>1296.3613500000001</v>
      </c>
      <c r="AA39" s="230">
        <f t="shared" si="6"/>
        <v>5520.240000000001</v>
      </c>
      <c r="AB39" s="231">
        <f t="shared" si="7"/>
        <v>6816.601350000001</v>
      </c>
      <c r="AC39" s="232"/>
      <c r="AD39" s="245">
        <f t="shared" si="8"/>
        <v>2985.5691666666667</v>
      </c>
      <c r="AE39" s="246">
        <f t="shared" si="9"/>
        <v>3831.032183333334</v>
      </c>
      <c r="AF39" s="232"/>
      <c r="AG39" s="251">
        <f t="shared" si="12"/>
        <v>313.65000000000003</v>
      </c>
      <c r="AH39" s="251">
        <f t="shared" si="12"/>
        <v>37.29375</v>
      </c>
      <c r="AI39" s="229">
        <f t="shared" si="10"/>
        <v>82.8036</v>
      </c>
      <c r="AJ39" s="229">
        <f t="shared" si="10"/>
        <v>540.9835200000001</v>
      </c>
      <c r="AK39" s="229">
        <f t="shared" si="10"/>
        <v>77.835384</v>
      </c>
      <c r="AL39" s="255">
        <f t="shared" si="11"/>
        <v>1052.566254</v>
      </c>
    </row>
    <row r="40" spans="1:38" ht="11.25" customHeight="1">
      <c r="A40" s="8">
        <v>34</v>
      </c>
      <c r="B40" s="8">
        <v>60</v>
      </c>
      <c r="C40" s="8"/>
      <c r="D40" s="16">
        <v>8</v>
      </c>
      <c r="E40" s="17">
        <f>VLOOKUP(D40,'A13 - Tabelle'!$A$6:$F$13,6)</f>
        <v>60640.31999999999</v>
      </c>
      <c r="F40" s="17">
        <f>VLOOKUP(D40,'A13 - Tabelle'!$A$6:$G$13,7)</f>
        <v>44013.52</v>
      </c>
      <c r="G40" s="18">
        <f t="shared" si="0"/>
        <v>41493.52</v>
      </c>
      <c r="H40" s="19"/>
      <c r="I40" s="16">
        <v>5</v>
      </c>
      <c r="J40" s="17">
        <f>VLOOKUP(I40,'E13 - Tabelle'!$A$7:$L$18,11)</f>
        <v>66242.88</v>
      </c>
      <c r="K40" s="20">
        <f>VLOOKUP(I40,'E13 - Tabelle'!$A$7:$L$18,12)</f>
        <v>35826.83</v>
      </c>
      <c r="L40" s="28">
        <f t="shared" si="1"/>
        <v>-5666.689999999995</v>
      </c>
      <c r="M40" s="32">
        <f t="shared" si="3"/>
        <v>-112037.52999999997</v>
      </c>
      <c r="N40" s="8">
        <v>34</v>
      </c>
      <c r="O40" s="8">
        <v>60</v>
      </c>
      <c r="P40" s="47"/>
      <c r="Q40" s="47"/>
      <c r="R40" s="284"/>
      <c r="S40" s="221"/>
      <c r="T40" s="228"/>
      <c r="U40" s="229">
        <f t="shared" si="2"/>
        <v>279.22499999999997</v>
      </c>
      <c r="V40" s="229">
        <f t="shared" si="2"/>
        <v>37.29375</v>
      </c>
      <c r="W40" s="229">
        <f t="shared" si="4"/>
        <v>82.8036</v>
      </c>
      <c r="X40" s="229">
        <f t="shared" si="4"/>
        <v>540.9835200000001</v>
      </c>
      <c r="Y40" s="229">
        <f t="shared" si="4"/>
        <v>356.05548000000005</v>
      </c>
      <c r="Z40" s="230">
        <f t="shared" si="5"/>
        <v>1296.3613500000001</v>
      </c>
      <c r="AA40" s="230">
        <f t="shared" si="6"/>
        <v>5520.240000000001</v>
      </c>
      <c r="AB40" s="231">
        <f t="shared" si="7"/>
        <v>6816.601350000001</v>
      </c>
      <c r="AC40" s="232"/>
      <c r="AD40" s="245">
        <f t="shared" si="8"/>
        <v>2985.5691666666667</v>
      </c>
      <c r="AE40" s="246">
        <f t="shared" si="9"/>
        <v>3831.032183333334</v>
      </c>
      <c r="AF40" s="232"/>
      <c r="AG40" s="251">
        <f t="shared" si="12"/>
        <v>313.65000000000003</v>
      </c>
      <c r="AH40" s="251">
        <f t="shared" si="12"/>
        <v>37.29375</v>
      </c>
      <c r="AI40" s="229">
        <f t="shared" si="10"/>
        <v>82.8036</v>
      </c>
      <c r="AJ40" s="229">
        <f t="shared" si="10"/>
        <v>540.9835200000001</v>
      </c>
      <c r="AK40" s="229">
        <f t="shared" si="10"/>
        <v>77.835384</v>
      </c>
      <c r="AL40" s="255">
        <f t="shared" si="11"/>
        <v>1052.566254</v>
      </c>
    </row>
    <row r="41" spans="1:38" ht="11.25" customHeight="1">
      <c r="A41" s="8">
        <v>35</v>
      </c>
      <c r="B41" s="8">
        <v>61</v>
      </c>
      <c r="C41" s="8"/>
      <c r="D41" s="16">
        <v>8</v>
      </c>
      <c r="E41" s="17">
        <f>VLOOKUP(D41,'A13 - Tabelle'!$A$6:$F$13,6)</f>
        <v>60640.31999999999</v>
      </c>
      <c r="F41" s="17">
        <f>VLOOKUP(D41,'A13 - Tabelle'!$A$6:$G$13,7)</f>
        <v>44013.52</v>
      </c>
      <c r="G41" s="18">
        <f t="shared" si="0"/>
        <v>41493.52</v>
      </c>
      <c r="H41" s="19"/>
      <c r="I41" s="16">
        <v>5</v>
      </c>
      <c r="J41" s="17">
        <f>VLOOKUP(I41,'E13 - Tabelle'!$A$7:$L$18,11)</f>
        <v>66242.88</v>
      </c>
      <c r="K41" s="20">
        <f>VLOOKUP(I41,'E13 - Tabelle'!$A$7:$L$18,12)</f>
        <v>35826.83</v>
      </c>
      <c r="L41" s="28">
        <f t="shared" si="1"/>
        <v>-5666.689999999995</v>
      </c>
      <c r="M41" s="32">
        <f t="shared" si="3"/>
        <v>-117704.21999999997</v>
      </c>
      <c r="N41" s="8">
        <v>35</v>
      </c>
      <c r="O41" s="8">
        <v>61</v>
      </c>
      <c r="P41" s="47"/>
      <c r="Q41" s="47"/>
      <c r="R41" s="284"/>
      <c r="S41" s="221"/>
      <c r="T41" s="228"/>
      <c r="U41" s="229">
        <f t="shared" si="2"/>
        <v>279.22499999999997</v>
      </c>
      <c r="V41" s="229">
        <f t="shared" si="2"/>
        <v>37.29375</v>
      </c>
      <c r="W41" s="229">
        <f t="shared" si="4"/>
        <v>82.8036</v>
      </c>
      <c r="X41" s="229">
        <f t="shared" si="4"/>
        <v>540.9835200000001</v>
      </c>
      <c r="Y41" s="229">
        <f t="shared" si="4"/>
        <v>356.05548000000005</v>
      </c>
      <c r="Z41" s="230">
        <f t="shared" si="5"/>
        <v>1296.3613500000001</v>
      </c>
      <c r="AA41" s="230">
        <f t="shared" si="6"/>
        <v>5520.240000000001</v>
      </c>
      <c r="AB41" s="231">
        <f t="shared" si="7"/>
        <v>6816.601350000001</v>
      </c>
      <c r="AC41" s="232"/>
      <c r="AD41" s="245">
        <f t="shared" si="8"/>
        <v>2985.5691666666667</v>
      </c>
      <c r="AE41" s="246">
        <f t="shared" si="9"/>
        <v>3831.032183333334</v>
      </c>
      <c r="AF41" s="232"/>
      <c r="AG41" s="251">
        <f t="shared" si="12"/>
        <v>313.65000000000003</v>
      </c>
      <c r="AH41" s="251">
        <f t="shared" si="12"/>
        <v>37.29375</v>
      </c>
      <c r="AI41" s="229">
        <f t="shared" si="10"/>
        <v>82.8036</v>
      </c>
      <c r="AJ41" s="229">
        <f t="shared" si="10"/>
        <v>540.9835200000001</v>
      </c>
      <c r="AK41" s="229">
        <f t="shared" si="10"/>
        <v>77.835384</v>
      </c>
      <c r="AL41" s="255">
        <f t="shared" si="11"/>
        <v>1052.566254</v>
      </c>
    </row>
    <row r="42" spans="1:38" ht="11.25" customHeight="1">
      <c r="A42" s="8">
        <v>36</v>
      </c>
      <c r="B42" s="8">
        <v>62</v>
      </c>
      <c r="C42" s="8"/>
      <c r="D42" s="16">
        <v>8</v>
      </c>
      <c r="E42" s="17">
        <f>VLOOKUP(D42,'A13 - Tabelle'!$A$6:$F$13,6)</f>
        <v>60640.31999999999</v>
      </c>
      <c r="F42" s="17">
        <f>VLOOKUP(D42,'A13 - Tabelle'!$A$6:$G$13,7)</f>
        <v>44013.52</v>
      </c>
      <c r="G42" s="18">
        <f t="shared" si="0"/>
        <v>41493.52</v>
      </c>
      <c r="H42" s="19"/>
      <c r="I42" s="16">
        <v>5</v>
      </c>
      <c r="J42" s="17">
        <f>VLOOKUP(I42,'E13 - Tabelle'!$A$7:$L$18,11)</f>
        <v>66242.88</v>
      </c>
      <c r="K42" s="20">
        <f>VLOOKUP(I42,'E13 - Tabelle'!$A$7:$L$18,12)</f>
        <v>35826.83</v>
      </c>
      <c r="L42" s="28">
        <f t="shared" si="1"/>
        <v>-5666.689999999995</v>
      </c>
      <c r="M42" s="32">
        <f t="shared" si="3"/>
        <v>-123370.90999999997</v>
      </c>
      <c r="N42" s="8">
        <v>36</v>
      </c>
      <c r="O42" s="8">
        <v>62</v>
      </c>
      <c r="P42" s="47"/>
      <c r="Q42" s="47"/>
      <c r="R42" s="284"/>
      <c r="S42" s="221"/>
      <c r="T42" s="228"/>
      <c r="U42" s="229">
        <f>IF(($J42&lt;$AB$1),$J42/12*U$5,$AB$1/12*U$5)</f>
        <v>279.22499999999997</v>
      </c>
      <c r="V42" s="229">
        <f>IF(($J42&lt;$AB$1),$J42/12*V$5,$AB$1/12*V$5)</f>
        <v>37.29375</v>
      </c>
      <c r="W42" s="229">
        <f t="shared" si="4"/>
        <v>82.8036</v>
      </c>
      <c r="X42" s="229">
        <f t="shared" si="4"/>
        <v>540.9835200000001</v>
      </c>
      <c r="Y42" s="229">
        <f t="shared" si="4"/>
        <v>356.05548000000005</v>
      </c>
      <c r="Z42" s="230">
        <f t="shared" si="5"/>
        <v>1296.3613500000001</v>
      </c>
      <c r="AA42" s="230">
        <f t="shared" si="6"/>
        <v>5520.240000000001</v>
      </c>
      <c r="AB42" s="231">
        <f t="shared" si="7"/>
        <v>6816.601350000001</v>
      </c>
      <c r="AC42" s="232"/>
      <c r="AD42" s="245">
        <f t="shared" si="8"/>
        <v>2985.5691666666667</v>
      </c>
      <c r="AE42" s="246">
        <f t="shared" si="9"/>
        <v>3831.032183333334</v>
      </c>
      <c r="AF42" s="232"/>
      <c r="AG42" s="251">
        <f t="shared" si="12"/>
        <v>313.65000000000003</v>
      </c>
      <c r="AH42" s="251">
        <f t="shared" si="12"/>
        <v>37.29375</v>
      </c>
      <c r="AI42" s="229">
        <f t="shared" si="10"/>
        <v>82.8036</v>
      </c>
      <c r="AJ42" s="229">
        <f t="shared" si="10"/>
        <v>540.9835200000001</v>
      </c>
      <c r="AK42" s="229">
        <f t="shared" si="10"/>
        <v>77.835384</v>
      </c>
      <c r="AL42" s="255">
        <f t="shared" si="11"/>
        <v>1052.566254</v>
      </c>
    </row>
    <row r="43" spans="1:38" ht="11.25" customHeight="1">
      <c r="A43" s="8">
        <v>37</v>
      </c>
      <c r="B43" s="8">
        <v>63</v>
      </c>
      <c r="C43" s="8"/>
      <c r="D43" s="16">
        <v>8</v>
      </c>
      <c r="E43" s="17">
        <f>VLOOKUP(D43,'A13 - Tabelle'!$A$6:$F$13,6)</f>
        <v>60640.31999999999</v>
      </c>
      <c r="F43" s="17">
        <f>VLOOKUP(D43,'A13 - Tabelle'!$A$6:$G$13,7)</f>
        <v>44013.52</v>
      </c>
      <c r="G43" s="18">
        <f t="shared" si="0"/>
        <v>41493.52</v>
      </c>
      <c r="H43" s="19"/>
      <c r="I43" s="16">
        <v>5</v>
      </c>
      <c r="J43" s="17">
        <f>VLOOKUP(I43,'E13 - Tabelle'!$A$7:$L$18,11)</f>
        <v>66242.88</v>
      </c>
      <c r="K43" s="20">
        <f>VLOOKUP(I43,'E13 - Tabelle'!$A$7:$L$18,12)</f>
        <v>35826.83</v>
      </c>
      <c r="L43" s="28">
        <f t="shared" si="1"/>
        <v>-5666.689999999995</v>
      </c>
      <c r="M43" s="32">
        <f t="shared" si="3"/>
        <v>-129037.59999999998</v>
      </c>
      <c r="N43" s="8">
        <v>37</v>
      </c>
      <c r="O43" s="8">
        <v>63</v>
      </c>
      <c r="P43" s="47"/>
      <c r="Q43" s="47"/>
      <c r="R43" s="284"/>
      <c r="S43" s="221"/>
      <c r="T43" s="228"/>
      <c r="U43" s="229">
        <f aca="true" t="shared" si="13" ref="U43:V46">IF(($J43&lt;$AB$1),$J43/12*U$5,$AB$1/12*U$5)</f>
        <v>279.22499999999997</v>
      </c>
      <c r="V43" s="229">
        <f t="shared" si="13"/>
        <v>37.29375</v>
      </c>
      <c r="W43" s="229">
        <f t="shared" si="4"/>
        <v>82.8036</v>
      </c>
      <c r="X43" s="229">
        <f t="shared" si="4"/>
        <v>540.9835200000001</v>
      </c>
      <c r="Y43" s="229">
        <f t="shared" si="4"/>
        <v>356.05548000000005</v>
      </c>
      <c r="Z43" s="230">
        <f t="shared" si="5"/>
        <v>1296.3613500000001</v>
      </c>
      <c r="AA43" s="230">
        <f t="shared" si="6"/>
        <v>5520.240000000001</v>
      </c>
      <c r="AB43" s="231">
        <f t="shared" si="7"/>
        <v>6816.601350000001</v>
      </c>
      <c r="AC43" s="232"/>
      <c r="AD43" s="245">
        <f t="shared" si="8"/>
        <v>2985.5691666666667</v>
      </c>
      <c r="AE43" s="246">
        <f t="shared" si="9"/>
        <v>3831.032183333334</v>
      </c>
      <c r="AF43" s="232"/>
      <c r="AG43" s="251">
        <f t="shared" si="12"/>
        <v>313.65000000000003</v>
      </c>
      <c r="AH43" s="251">
        <f t="shared" si="12"/>
        <v>37.29375</v>
      </c>
      <c r="AI43" s="229">
        <f t="shared" si="10"/>
        <v>82.8036</v>
      </c>
      <c r="AJ43" s="229">
        <f t="shared" si="10"/>
        <v>540.9835200000001</v>
      </c>
      <c r="AK43" s="229">
        <f t="shared" si="10"/>
        <v>77.835384</v>
      </c>
      <c r="AL43" s="255">
        <f t="shared" si="11"/>
        <v>1052.566254</v>
      </c>
    </row>
    <row r="44" spans="1:38" ht="11.25" customHeight="1">
      <c r="A44" s="8">
        <v>38</v>
      </c>
      <c r="B44" s="8">
        <v>64</v>
      </c>
      <c r="C44" s="8"/>
      <c r="D44" s="16">
        <v>8</v>
      </c>
      <c r="E44" s="17">
        <f>VLOOKUP(D44,'A13 - Tabelle'!$A$6:$F$13,6)</f>
        <v>60640.31999999999</v>
      </c>
      <c r="F44" s="17">
        <f>VLOOKUP(D44,'A13 - Tabelle'!$A$6:$G$13,7)</f>
        <v>44013.52</v>
      </c>
      <c r="G44" s="18">
        <f t="shared" si="0"/>
        <v>41493.52</v>
      </c>
      <c r="H44" s="19"/>
      <c r="I44" s="16">
        <v>5</v>
      </c>
      <c r="J44" s="17">
        <f>VLOOKUP(I44,'E13 - Tabelle'!$A$7:$L$18,11)</f>
        <v>66242.88</v>
      </c>
      <c r="K44" s="20">
        <f>VLOOKUP(I44,'E13 - Tabelle'!$A$7:$L$18,12)</f>
        <v>35826.83</v>
      </c>
      <c r="L44" s="28">
        <f t="shared" si="1"/>
        <v>-5666.689999999995</v>
      </c>
      <c r="M44" s="32">
        <f t="shared" si="3"/>
        <v>-134704.28999999998</v>
      </c>
      <c r="N44" s="8">
        <v>38</v>
      </c>
      <c r="O44" s="8">
        <v>64</v>
      </c>
      <c r="P44" s="47"/>
      <c r="Q44" s="47"/>
      <c r="R44" s="284"/>
      <c r="S44" s="221"/>
      <c r="T44" s="228"/>
      <c r="U44" s="229">
        <f t="shared" si="13"/>
        <v>279.22499999999997</v>
      </c>
      <c r="V44" s="229">
        <f t="shared" si="13"/>
        <v>37.29375</v>
      </c>
      <c r="W44" s="229">
        <f t="shared" si="4"/>
        <v>82.8036</v>
      </c>
      <c r="X44" s="229">
        <f t="shared" si="4"/>
        <v>540.9835200000001</v>
      </c>
      <c r="Y44" s="229">
        <f t="shared" si="4"/>
        <v>356.05548000000005</v>
      </c>
      <c r="Z44" s="230">
        <f t="shared" si="5"/>
        <v>1296.3613500000001</v>
      </c>
      <c r="AA44" s="230">
        <f t="shared" si="6"/>
        <v>5520.240000000001</v>
      </c>
      <c r="AB44" s="231">
        <f t="shared" si="7"/>
        <v>6816.601350000001</v>
      </c>
      <c r="AC44" s="232"/>
      <c r="AD44" s="245">
        <f t="shared" si="8"/>
        <v>2985.5691666666667</v>
      </c>
      <c r="AE44" s="246">
        <f t="shared" si="9"/>
        <v>3831.032183333334</v>
      </c>
      <c r="AF44" s="232"/>
      <c r="AG44" s="251">
        <f t="shared" si="12"/>
        <v>313.65000000000003</v>
      </c>
      <c r="AH44" s="251">
        <f t="shared" si="12"/>
        <v>37.29375</v>
      </c>
      <c r="AI44" s="229">
        <f t="shared" si="10"/>
        <v>82.8036</v>
      </c>
      <c r="AJ44" s="229">
        <f t="shared" si="10"/>
        <v>540.9835200000001</v>
      </c>
      <c r="AK44" s="229">
        <f t="shared" si="10"/>
        <v>77.835384</v>
      </c>
      <c r="AL44" s="255">
        <f t="shared" si="11"/>
        <v>1052.566254</v>
      </c>
    </row>
    <row r="45" spans="1:38" ht="11.25" customHeight="1">
      <c r="A45" s="8">
        <v>39</v>
      </c>
      <c r="B45" s="8">
        <v>65</v>
      </c>
      <c r="C45" s="8"/>
      <c r="D45" s="16">
        <v>8</v>
      </c>
      <c r="E45" s="17">
        <f>VLOOKUP(D45,'A13 - Tabelle'!$A$6:$F$13,6)</f>
        <v>60640.31999999999</v>
      </c>
      <c r="F45" s="17">
        <f>VLOOKUP(D45,'A13 - Tabelle'!$A$6:$G$13,7)</f>
        <v>44013.52</v>
      </c>
      <c r="G45" s="18">
        <f t="shared" si="0"/>
        <v>41493.52</v>
      </c>
      <c r="H45" s="19"/>
      <c r="I45" s="16">
        <v>5</v>
      </c>
      <c r="J45" s="17">
        <f>VLOOKUP(I45,'E13 - Tabelle'!$A$7:$L$18,11)</f>
        <v>66242.88</v>
      </c>
      <c r="K45" s="20">
        <f>VLOOKUP(I45,'E13 - Tabelle'!$A$7:$L$18,12)</f>
        <v>35826.83</v>
      </c>
      <c r="L45" s="28">
        <f t="shared" si="1"/>
        <v>-5666.689999999995</v>
      </c>
      <c r="M45" s="32">
        <f t="shared" si="3"/>
        <v>-140370.97999999998</v>
      </c>
      <c r="N45" s="8">
        <v>39</v>
      </c>
      <c r="O45" s="8">
        <v>65</v>
      </c>
      <c r="P45" s="47"/>
      <c r="Q45" s="47"/>
      <c r="R45" s="284"/>
      <c r="S45" s="221"/>
      <c r="T45" s="228"/>
      <c r="U45" s="229">
        <f t="shared" si="13"/>
        <v>279.22499999999997</v>
      </c>
      <c r="V45" s="229">
        <f t="shared" si="13"/>
        <v>37.29375</v>
      </c>
      <c r="W45" s="229">
        <f t="shared" si="4"/>
        <v>82.8036</v>
      </c>
      <c r="X45" s="229">
        <f t="shared" si="4"/>
        <v>540.9835200000001</v>
      </c>
      <c r="Y45" s="229">
        <f t="shared" si="4"/>
        <v>356.05548000000005</v>
      </c>
      <c r="Z45" s="230">
        <f t="shared" si="5"/>
        <v>1296.3613500000001</v>
      </c>
      <c r="AA45" s="230">
        <f t="shared" si="6"/>
        <v>5520.240000000001</v>
      </c>
      <c r="AB45" s="231">
        <f t="shared" si="7"/>
        <v>6816.601350000001</v>
      </c>
      <c r="AC45" s="232"/>
      <c r="AD45" s="245">
        <f t="shared" si="8"/>
        <v>2985.5691666666667</v>
      </c>
      <c r="AE45" s="246">
        <f t="shared" si="9"/>
        <v>3831.032183333334</v>
      </c>
      <c r="AF45" s="232"/>
      <c r="AG45" s="251">
        <f t="shared" si="12"/>
        <v>313.65000000000003</v>
      </c>
      <c r="AH45" s="251">
        <f t="shared" si="12"/>
        <v>37.29375</v>
      </c>
      <c r="AI45" s="229">
        <f t="shared" si="10"/>
        <v>82.8036</v>
      </c>
      <c r="AJ45" s="229">
        <f t="shared" si="10"/>
        <v>540.9835200000001</v>
      </c>
      <c r="AK45" s="229">
        <f t="shared" si="10"/>
        <v>77.835384</v>
      </c>
      <c r="AL45" s="255">
        <f t="shared" si="11"/>
        <v>1052.566254</v>
      </c>
    </row>
    <row r="46" spans="1:38" ht="11.25" customHeight="1">
      <c r="A46" s="8">
        <v>40</v>
      </c>
      <c r="B46" s="240">
        <v>66</v>
      </c>
      <c r="C46" s="8"/>
      <c r="D46" s="21">
        <v>8</v>
      </c>
      <c r="E46" s="17">
        <f>VLOOKUP(D46,'A13 - Tabelle'!$A$6:$F$13,6)</f>
        <v>60640.31999999999</v>
      </c>
      <c r="F46" s="17">
        <f>VLOOKUP(D46,'A13 - Tabelle'!$A$6:$G$13,7)</f>
        <v>44013.52</v>
      </c>
      <c r="G46" s="18">
        <f t="shared" si="0"/>
        <v>41493.52</v>
      </c>
      <c r="H46" s="19"/>
      <c r="I46" s="16">
        <v>5</v>
      </c>
      <c r="J46" s="17">
        <f>VLOOKUP(I46,'E13 - Tabelle'!$A$7:$L$18,11)</f>
        <v>66242.88</v>
      </c>
      <c r="K46" s="20">
        <f>VLOOKUP(I46,'E13 - Tabelle'!$A$7:$L$18,12)</f>
        <v>35826.83</v>
      </c>
      <c r="L46" s="70">
        <f t="shared" si="1"/>
        <v>-5666.689999999995</v>
      </c>
      <c r="M46" s="71">
        <f t="shared" si="3"/>
        <v>-146037.66999999998</v>
      </c>
      <c r="N46" s="8">
        <v>40</v>
      </c>
      <c r="O46" s="240">
        <v>66</v>
      </c>
      <c r="P46" s="47"/>
      <c r="Q46" s="47"/>
      <c r="R46" s="284"/>
      <c r="S46" s="221"/>
      <c r="T46" s="233"/>
      <c r="U46" s="229">
        <f t="shared" si="13"/>
        <v>279.22499999999997</v>
      </c>
      <c r="V46" s="229">
        <f t="shared" si="13"/>
        <v>37.29375</v>
      </c>
      <c r="W46" s="229">
        <f t="shared" si="4"/>
        <v>82.8036</v>
      </c>
      <c r="X46" s="229">
        <f t="shared" si="4"/>
        <v>540.9835200000001</v>
      </c>
      <c r="Y46" s="229">
        <f t="shared" si="4"/>
        <v>356.05548000000005</v>
      </c>
      <c r="Z46" s="230">
        <f t="shared" si="5"/>
        <v>1296.3613500000001</v>
      </c>
      <c r="AA46" s="230">
        <f t="shared" si="6"/>
        <v>5520.240000000001</v>
      </c>
      <c r="AB46" s="231">
        <f t="shared" si="7"/>
        <v>6816.601350000001</v>
      </c>
      <c r="AC46" s="232"/>
      <c r="AD46" s="245">
        <f t="shared" si="8"/>
        <v>2985.5691666666667</v>
      </c>
      <c r="AE46" s="246">
        <f t="shared" si="9"/>
        <v>3831.032183333334</v>
      </c>
      <c r="AF46" s="232"/>
      <c r="AG46" s="251">
        <f t="shared" si="12"/>
        <v>313.65000000000003</v>
      </c>
      <c r="AH46" s="251">
        <f t="shared" si="12"/>
        <v>37.29375</v>
      </c>
      <c r="AI46" s="229">
        <f t="shared" si="10"/>
        <v>82.8036</v>
      </c>
      <c r="AJ46" s="229">
        <f t="shared" si="10"/>
        <v>540.9835200000001</v>
      </c>
      <c r="AK46" s="229">
        <f t="shared" si="10"/>
        <v>77.835384</v>
      </c>
      <c r="AL46" s="255">
        <f t="shared" si="11"/>
        <v>1052.566254</v>
      </c>
    </row>
    <row r="47" spans="1:38" s="123" customFormat="1" ht="13.5" thickBot="1">
      <c r="A47" s="117"/>
      <c r="B47" s="117"/>
      <c r="C47" s="117"/>
      <c r="D47" s="114" t="s">
        <v>7</v>
      </c>
      <c r="E47" s="118">
        <f>AVERAGE(E7:E46)</f>
        <v>57071.10900000003</v>
      </c>
      <c r="F47" s="118">
        <f>AVERAGE(F7:F46)</f>
        <v>41997.77175000001</v>
      </c>
      <c r="G47" s="108">
        <f>AVERAGE(G7:G46)</f>
        <v>39477.77175000001</v>
      </c>
      <c r="H47" s="119"/>
      <c r="I47" s="114" t="s">
        <v>7</v>
      </c>
      <c r="J47" s="118">
        <f>AVERAGE(J7:J46)</f>
        <v>66242.87999999993</v>
      </c>
      <c r="K47" s="115">
        <f>AVERAGE(K7:K46)</f>
        <v>35826.83000000001</v>
      </c>
      <c r="L47" s="120">
        <f>AVERAGE(L7:L46)</f>
        <v>-3650.9417499999995</v>
      </c>
      <c r="M47" s="121"/>
      <c r="N47" s="424">
        <f>L47*40</f>
        <v>-146037.66999999998</v>
      </c>
      <c r="O47" s="425"/>
      <c r="P47" s="425"/>
      <c r="Q47" s="122"/>
      <c r="R47" s="285"/>
      <c r="S47" s="253"/>
      <c r="T47" s="234" t="s">
        <v>7</v>
      </c>
      <c r="U47" s="235">
        <f aca="true" t="shared" si="14" ref="U47:AB47">AVERAGE(U7:U46)</f>
        <v>279.2250000000002</v>
      </c>
      <c r="V47" s="235">
        <f t="shared" si="14"/>
        <v>37.29375000000003</v>
      </c>
      <c r="W47" s="235">
        <f t="shared" si="14"/>
        <v>82.80360000000006</v>
      </c>
      <c r="X47" s="235">
        <f t="shared" si="14"/>
        <v>540.9835200000003</v>
      </c>
      <c r="Y47" s="235">
        <f t="shared" si="14"/>
        <v>356.0554800000004</v>
      </c>
      <c r="Z47" s="236">
        <f t="shared" si="14"/>
        <v>1296.3613499999994</v>
      </c>
      <c r="AA47" s="236">
        <f t="shared" si="14"/>
        <v>5520.239999999997</v>
      </c>
      <c r="AB47" s="238">
        <f t="shared" si="14"/>
        <v>6816.6013500000045</v>
      </c>
      <c r="AC47" s="232"/>
      <c r="AD47" s="247">
        <f>AVERAGE(AD7:AD46)</f>
        <v>2985.5691666666676</v>
      </c>
      <c r="AE47" s="238">
        <f>AVERAGE(AE7:AE46)</f>
        <v>3831.032183333332</v>
      </c>
      <c r="AF47" s="232"/>
      <c r="AG47" s="252">
        <f aca="true" t="shared" si="15" ref="AG47:AL47">AVERAGE(AG7:AG46)</f>
        <v>313.64999999999975</v>
      </c>
      <c r="AH47" s="235">
        <f t="shared" si="15"/>
        <v>37.29375000000003</v>
      </c>
      <c r="AI47" s="235">
        <f t="shared" si="15"/>
        <v>82.80360000000006</v>
      </c>
      <c r="AJ47" s="235">
        <f t="shared" si="15"/>
        <v>540.9835200000003</v>
      </c>
      <c r="AK47" s="235">
        <f t="shared" si="15"/>
        <v>77.83538399999999</v>
      </c>
      <c r="AL47" s="237">
        <f t="shared" si="15"/>
        <v>1052.5662539999998</v>
      </c>
    </row>
    <row r="48" spans="4:38" s="176" customFormat="1" ht="13.5" thickTop="1">
      <c r="D48" s="173" t="s">
        <v>52</v>
      </c>
      <c r="E48" s="174">
        <f>E47/12</f>
        <v>4755.925750000003</v>
      </c>
      <c r="F48" s="174">
        <f>F47/12</f>
        <v>3499.8143125000006</v>
      </c>
      <c r="G48" s="174">
        <f>G47/12</f>
        <v>3289.8143125000006</v>
      </c>
      <c r="H48" s="174"/>
      <c r="I48" s="175"/>
      <c r="J48" s="174">
        <f>J47/12</f>
        <v>5520.239999999994</v>
      </c>
      <c r="K48" s="174">
        <f>K47/12</f>
        <v>2985.5691666666676</v>
      </c>
      <c r="L48" s="174">
        <f>L47/12</f>
        <v>-304.2451458333333</v>
      </c>
      <c r="M48" s="31"/>
      <c r="N48" s="31"/>
      <c r="O48" s="31"/>
      <c r="P48" s="31"/>
      <c r="Q48" s="31"/>
      <c r="R48" s="285"/>
      <c r="S48" s="254"/>
      <c r="T48" s="241" t="s">
        <v>63</v>
      </c>
      <c r="U48" s="239"/>
      <c r="V48" s="239"/>
      <c r="W48" s="40" t="s">
        <v>77</v>
      </c>
      <c r="X48" s="264" t="s">
        <v>79</v>
      </c>
      <c r="AC48" s="172"/>
      <c r="AD48" s="172"/>
      <c r="AE48" s="172"/>
      <c r="AF48" s="172"/>
      <c r="AG48" s="172"/>
      <c r="AH48" s="172"/>
      <c r="AI48" s="172"/>
      <c r="AJ48" s="172"/>
      <c r="AK48" s="172"/>
      <c r="AL48" s="172"/>
    </row>
    <row r="49" spans="1:38" ht="12.75">
      <c r="A49" s="286"/>
      <c r="B49" s="286"/>
      <c r="C49" s="286"/>
      <c r="D49" s="284"/>
      <c r="E49" s="287"/>
      <c r="F49" s="288"/>
      <c r="G49" s="289"/>
      <c r="H49" s="290"/>
      <c r="I49" s="284"/>
      <c r="J49" s="287"/>
      <c r="K49" s="289"/>
      <c r="L49" s="291"/>
      <c r="M49" s="291"/>
      <c r="N49" s="292"/>
      <c r="O49" s="293"/>
      <c r="P49" s="294"/>
      <c r="Q49" s="294"/>
      <c r="R49" s="284"/>
      <c r="S49" s="221"/>
      <c r="T49" s="40" t="s">
        <v>76</v>
      </c>
      <c r="U49" s="242"/>
      <c r="V49" s="242"/>
      <c r="W49" s="242"/>
      <c r="X49" s="242"/>
      <c r="Y49" s="242"/>
      <c r="Z49" s="240"/>
      <c r="AA49" s="240"/>
      <c r="AB49" s="239"/>
      <c r="AC49" s="239"/>
      <c r="AD49" s="40"/>
      <c r="AE49" s="264" t="s">
        <v>78</v>
      </c>
      <c r="AF49" s="239"/>
      <c r="AH49" s="239"/>
      <c r="AI49" s="239"/>
      <c r="AJ49" s="264" t="s">
        <v>80</v>
      </c>
      <c r="AK49" s="239"/>
      <c r="AL49" s="240"/>
    </row>
    <row r="50" spans="9:11" ht="12.75">
      <c r="I50" s="267" t="s">
        <v>84</v>
      </c>
      <c r="J50" s="174">
        <f>J48-'E13 - Modell'!J48</f>
        <v>245.5482083333327</v>
      </c>
      <c r="K50" s="174">
        <f>K48-'E13 - Modell'!K48</f>
        <v>108.12612500000068</v>
      </c>
    </row>
  </sheetData>
  <sheetProtection/>
  <mergeCells count="3">
    <mergeCell ref="D5:G5"/>
    <mergeCell ref="I5:M5"/>
    <mergeCell ref="N47:P47"/>
  </mergeCells>
  <hyperlinks>
    <hyperlink ref="AE49" r:id="rId1" display="http://www.aok-bv.de/zahlen/gesundheitswesen/index_00529.html"/>
    <hyperlink ref="AJ49" r:id="rId2" display="http://www.lohn-info.de/beitragsberechnung.html"/>
  </hyperlinks>
  <printOptions/>
  <pageMargins left="0.57" right="0.18" top="0.19" bottom="0.2" header="0.19" footer="0.17"/>
  <pageSetup horizontalDpi="600" verticalDpi="600" orientation="landscape" paperSize="9" r:id="rId3"/>
</worksheet>
</file>

<file path=xl/worksheets/sheet8.xml><?xml version="1.0" encoding="utf-8"?>
<worksheet xmlns="http://schemas.openxmlformats.org/spreadsheetml/2006/main" xmlns:r="http://schemas.openxmlformats.org/officeDocument/2006/relationships">
  <dimension ref="A1:AL53"/>
  <sheetViews>
    <sheetView zoomScalePageLayoutView="0" workbookViewId="0" topLeftCell="A6">
      <selection activeCell="J23" sqref="J23"/>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6" customWidth="1"/>
    <col min="13" max="13" width="11.00390625" style="26" customWidth="1"/>
    <col min="14" max="14" width="5.57421875" style="6" customWidth="1"/>
    <col min="15" max="15" width="4.28125" style="26" customWidth="1"/>
    <col min="16" max="16" width="9.28125" style="30" customWidth="1"/>
    <col min="17" max="17" width="7.28125" style="30" customWidth="1"/>
    <col min="19" max="19" width="3.421875" style="0" customWidth="1"/>
    <col min="20" max="20" width="4.421875" style="0" customWidth="1"/>
    <col min="27" max="27" width="12.421875" style="0" customWidth="1"/>
    <col min="29" max="29" width="17.8515625" style="0" customWidth="1"/>
    <col min="32" max="32" width="4.140625" style="0" customWidth="1"/>
  </cols>
  <sheetData>
    <row r="1" spans="4:38" ht="12.75" customHeight="1">
      <c r="D1" s="34" t="s">
        <v>113</v>
      </c>
      <c r="P1" s="22" t="s">
        <v>9</v>
      </c>
      <c r="Q1" s="33">
        <v>210</v>
      </c>
      <c r="R1" s="342"/>
      <c r="S1" s="221"/>
      <c r="T1" s="221"/>
      <c r="U1" s="2" t="s">
        <v>55</v>
      </c>
      <c r="X1" s="263" t="s">
        <v>74</v>
      </c>
      <c r="Z1" s="222"/>
      <c r="AA1" s="222"/>
      <c r="AB1" s="232">
        <v>45900</v>
      </c>
      <c r="AC1" s="2"/>
      <c r="AE1" s="146"/>
      <c r="AF1" s="2"/>
      <c r="AG1" s="2" t="s">
        <v>65</v>
      </c>
      <c r="AL1" s="222"/>
    </row>
    <row r="2" spans="18:38" ht="2.25" customHeight="1">
      <c r="R2" s="342"/>
      <c r="S2" s="221"/>
      <c r="T2" s="221"/>
      <c r="Z2" s="222"/>
      <c r="AA2" s="222"/>
      <c r="AB2" s="2"/>
      <c r="AC2" s="2"/>
      <c r="AD2" s="126"/>
      <c r="AE2" s="146"/>
      <c r="AF2" s="2"/>
      <c r="AL2" s="222"/>
    </row>
    <row r="3" spans="1:38" ht="12.75">
      <c r="A3" s="8"/>
      <c r="B3" s="8"/>
      <c r="C3" s="8"/>
      <c r="D3" s="40" t="s">
        <v>127</v>
      </c>
      <c r="E3" s="10"/>
      <c r="F3" s="10"/>
      <c r="G3" s="11"/>
      <c r="H3" s="12"/>
      <c r="I3" s="9"/>
      <c r="J3" s="10"/>
      <c r="K3" s="11"/>
      <c r="L3" s="27"/>
      <c r="M3" s="27"/>
      <c r="N3" s="23"/>
      <c r="O3" s="27"/>
      <c r="P3" s="31"/>
      <c r="Q3" s="31"/>
      <c r="R3" s="342"/>
      <c r="S3" s="221"/>
      <c r="T3" s="221"/>
      <c r="U3" t="s">
        <v>54</v>
      </c>
      <c r="V3" t="s">
        <v>54</v>
      </c>
      <c r="W3" t="s">
        <v>54</v>
      </c>
      <c r="X3" t="s">
        <v>54</v>
      </c>
      <c r="Y3" t="s">
        <v>54</v>
      </c>
      <c r="Z3" s="222"/>
      <c r="AA3" s="222"/>
      <c r="AB3" s="2"/>
      <c r="AC3" s="2"/>
      <c r="AD3" s="126"/>
      <c r="AE3" s="146"/>
      <c r="AF3" s="2"/>
      <c r="AG3" t="s">
        <v>54</v>
      </c>
      <c r="AH3" t="s">
        <v>54</v>
      </c>
      <c r="AI3" t="s">
        <v>54</v>
      </c>
      <c r="AJ3" t="s">
        <v>54</v>
      </c>
      <c r="AK3" t="s">
        <v>54</v>
      </c>
      <c r="AL3" s="222"/>
    </row>
    <row r="4" spans="1:38" ht="3" customHeight="1">
      <c r="A4" s="8"/>
      <c r="B4" s="8"/>
      <c r="C4" s="8"/>
      <c r="D4" s="9"/>
      <c r="E4" s="10"/>
      <c r="F4" s="10"/>
      <c r="G4" s="11"/>
      <c r="H4" s="12"/>
      <c r="I4" s="9"/>
      <c r="J4" s="10"/>
      <c r="K4" s="11"/>
      <c r="L4" s="27"/>
      <c r="M4" s="27"/>
      <c r="N4" s="23"/>
      <c r="O4" s="27"/>
      <c r="P4" s="31"/>
      <c r="Q4" s="31"/>
      <c r="R4" s="342"/>
      <c r="S4" s="221"/>
      <c r="T4" s="221"/>
      <c r="Z4" s="222"/>
      <c r="AA4" s="222"/>
      <c r="AB4" s="2"/>
      <c r="AC4" s="2"/>
      <c r="AD4" s="126"/>
      <c r="AE4" s="146"/>
      <c r="AF4" s="2"/>
      <c r="AL4" s="222"/>
    </row>
    <row r="5" spans="1:38" ht="35.25" customHeight="1">
      <c r="A5" s="8"/>
      <c r="B5" s="8"/>
      <c r="C5" s="8"/>
      <c r="D5" s="426" t="s">
        <v>108</v>
      </c>
      <c r="E5" s="427"/>
      <c r="F5" s="427"/>
      <c r="G5" s="428"/>
      <c r="H5" s="25"/>
      <c r="I5" s="429" t="s">
        <v>109</v>
      </c>
      <c r="J5" s="422"/>
      <c r="K5" s="422"/>
      <c r="L5" s="422"/>
      <c r="M5" s="423"/>
      <c r="N5" s="63"/>
      <c r="O5" s="63"/>
      <c r="P5" s="63"/>
      <c r="Q5" s="63"/>
      <c r="R5" s="342"/>
      <c r="S5" s="221"/>
      <c r="T5" s="221"/>
      <c r="U5" s="280">
        <v>0.073</v>
      </c>
      <c r="V5" s="269">
        <v>0.00975</v>
      </c>
      <c r="W5" s="280">
        <v>0.015</v>
      </c>
      <c r="X5" s="280">
        <v>0.098</v>
      </c>
      <c r="Y5" s="280">
        <v>0.0645</v>
      </c>
      <c r="Z5" s="359">
        <f>SUM(U5:Y5)</f>
        <v>0.26025</v>
      </c>
      <c r="AA5" s="222"/>
      <c r="AB5" s="269"/>
      <c r="AC5" s="2"/>
      <c r="AD5" s="126"/>
      <c r="AE5" s="146"/>
      <c r="AF5" s="2"/>
      <c r="AG5" s="280">
        <v>0.082</v>
      </c>
      <c r="AH5" s="269">
        <v>0.00975</v>
      </c>
      <c r="AI5" s="280">
        <v>0.015</v>
      </c>
      <c r="AJ5" s="280">
        <v>0.098</v>
      </c>
      <c r="AK5" s="280">
        <v>0.0141</v>
      </c>
      <c r="AL5" s="280">
        <f>SUM(AG5:AK5)</f>
        <v>0.21885</v>
      </c>
    </row>
    <row r="6" spans="1:38" ht="33" customHeight="1">
      <c r="A6" s="116" t="s">
        <v>32</v>
      </c>
      <c r="B6" s="13" t="s">
        <v>1</v>
      </c>
      <c r="C6" s="13"/>
      <c r="D6" s="64" t="s">
        <v>2</v>
      </c>
      <c r="E6" s="65" t="s">
        <v>4</v>
      </c>
      <c r="F6" s="65" t="s">
        <v>3</v>
      </c>
      <c r="G6" s="66" t="s">
        <v>26</v>
      </c>
      <c r="H6" s="15"/>
      <c r="I6" s="64" t="s">
        <v>2</v>
      </c>
      <c r="J6" s="65" t="s">
        <v>5</v>
      </c>
      <c r="K6" s="67" t="s">
        <v>6</v>
      </c>
      <c r="L6" s="68" t="s">
        <v>8</v>
      </c>
      <c r="M6" s="69" t="s">
        <v>27</v>
      </c>
      <c r="N6" s="116" t="s">
        <v>32</v>
      </c>
      <c r="O6" s="13" t="s">
        <v>1</v>
      </c>
      <c r="P6" s="48"/>
      <c r="Q6" s="48"/>
      <c r="R6" s="342"/>
      <c r="S6" s="221"/>
      <c r="T6" s="223"/>
      <c r="U6" s="224" t="s">
        <v>67</v>
      </c>
      <c r="V6" s="224" t="s">
        <v>56</v>
      </c>
      <c r="W6" s="224" t="s">
        <v>103</v>
      </c>
      <c r="X6" s="224" t="s">
        <v>82</v>
      </c>
      <c r="Y6" s="224" t="s">
        <v>66</v>
      </c>
      <c r="Z6" s="225" t="s">
        <v>59</v>
      </c>
      <c r="AA6" s="225" t="s">
        <v>60</v>
      </c>
      <c r="AB6" s="226" t="s">
        <v>61</v>
      </c>
      <c r="AC6" s="227"/>
      <c r="AD6" s="248" t="s">
        <v>62</v>
      </c>
      <c r="AE6" s="249" t="s">
        <v>64</v>
      </c>
      <c r="AF6" s="227"/>
      <c r="AG6" s="250" t="s">
        <v>67</v>
      </c>
      <c r="AH6" s="224" t="s">
        <v>56</v>
      </c>
      <c r="AI6" s="224" t="s">
        <v>57</v>
      </c>
      <c r="AJ6" s="224" t="s">
        <v>58</v>
      </c>
      <c r="AK6" s="224" t="s">
        <v>66</v>
      </c>
      <c r="AL6" s="256" t="s">
        <v>59</v>
      </c>
    </row>
    <row r="7" spans="1:38" ht="11.25" customHeight="1">
      <c r="A7" s="8">
        <v>1</v>
      </c>
      <c r="B7" s="8">
        <v>27</v>
      </c>
      <c r="C7" s="8"/>
      <c r="D7" s="16">
        <v>1</v>
      </c>
      <c r="E7" s="17">
        <f>VLOOKUP(D7,'A13 - Tabelle'!$A$6:$F$13,6)</f>
        <v>47088.24</v>
      </c>
      <c r="F7" s="17">
        <f>VLOOKUP(D7,'A13 - Tabelle'!$A$6:$G$13,7)</f>
        <v>36235.46</v>
      </c>
      <c r="G7" s="18">
        <f aca="true" t="shared" si="0" ref="G7:G46">F7-12*$Q$1</f>
        <v>33715.46</v>
      </c>
      <c r="H7" s="19"/>
      <c r="I7" s="16">
        <v>3</v>
      </c>
      <c r="J7" s="17">
        <f>VLOOKUP(I7,'E13 - Tabelle'!$A$7:$L$18,11)</f>
        <v>53664.630000000005</v>
      </c>
      <c r="K7" s="20">
        <f>VLOOKUP(I7,'E13 - Tabelle'!$A$7:$L$18,12)</f>
        <v>30294.75</v>
      </c>
      <c r="L7" s="28">
        <f aca="true" t="shared" si="1" ref="L7:L46">K7-G7</f>
        <v>-3420.709999999999</v>
      </c>
      <c r="M7" s="32">
        <f>L7</f>
        <v>-3420.709999999999</v>
      </c>
      <c r="N7" s="8">
        <v>1</v>
      </c>
      <c r="O7" s="8">
        <v>27</v>
      </c>
      <c r="P7" s="47"/>
      <c r="Q7" s="47"/>
      <c r="R7" s="342"/>
      <c r="S7" s="221"/>
      <c r="T7" s="228"/>
      <c r="U7" s="229">
        <f aca="true" t="shared" si="2" ref="U7:V26">IF(($J7&lt;$AB$1),$J7/12*U$5,$AB$1/12*U$5)</f>
        <v>279.22499999999997</v>
      </c>
      <c r="V7" s="229">
        <f t="shared" si="2"/>
        <v>37.29375</v>
      </c>
      <c r="W7" s="229">
        <f aca="true" t="shared" si="3" ref="W7:Y26">$J7/12*W$5</f>
        <v>67.08078750000001</v>
      </c>
      <c r="X7" s="229">
        <f t="shared" si="3"/>
        <v>438.2611450000001</v>
      </c>
      <c r="Y7" s="229">
        <f t="shared" si="3"/>
        <v>288.4473862500001</v>
      </c>
      <c r="Z7" s="230">
        <f aca="true" t="shared" si="4" ref="Z7:Z46">SUM(U7:Y7)</f>
        <v>1110.3080687500003</v>
      </c>
      <c r="AA7" s="230">
        <f aca="true" t="shared" si="5" ref="AA7:AA46">J7/12</f>
        <v>4472.052500000001</v>
      </c>
      <c r="AB7" s="231">
        <f aca="true" t="shared" si="6" ref="AB7:AB46">AA7+Z7</f>
        <v>5582.360568750001</v>
      </c>
      <c r="AC7" s="232"/>
      <c r="AD7" s="245">
        <f aca="true" t="shared" si="7" ref="AD7:AD46">K7/12</f>
        <v>2524.5625</v>
      </c>
      <c r="AE7" s="246">
        <f aca="true" t="shared" si="8" ref="AE7:AE46">AB7-AD7</f>
        <v>3057.798068750001</v>
      </c>
      <c r="AF7" s="232"/>
      <c r="AG7" s="251">
        <f aca="true" t="shared" si="9" ref="AG7:AH26">IF(($J7&lt;$AB$1),$J7/12*AG$5,$AB$1/12*AG$5)</f>
        <v>313.65000000000003</v>
      </c>
      <c r="AH7" s="251">
        <f t="shared" si="9"/>
        <v>37.29375</v>
      </c>
      <c r="AI7" s="229">
        <f aca="true" t="shared" si="10" ref="AI7:AK26">$J7/12*AI$5</f>
        <v>67.08078750000001</v>
      </c>
      <c r="AJ7" s="229">
        <f t="shared" si="10"/>
        <v>438.2611450000001</v>
      </c>
      <c r="AK7" s="229">
        <f t="shared" si="10"/>
        <v>63.055940250000006</v>
      </c>
      <c r="AL7" s="255">
        <f aca="true" t="shared" si="11" ref="AL7:AL46">SUM(AG7:AK7)</f>
        <v>919.3416227500002</v>
      </c>
    </row>
    <row r="8" spans="1:38" ht="11.25" customHeight="1">
      <c r="A8" s="8">
        <v>2</v>
      </c>
      <c r="B8" s="8">
        <v>28</v>
      </c>
      <c r="C8" s="8"/>
      <c r="D8" s="16">
        <v>1</v>
      </c>
      <c r="E8" s="17">
        <f>VLOOKUP(D8,'A13 - Tabelle'!$A$6:$F$13,6)</f>
        <v>47088.24</v>
      </c>
      <c r="F8" s="17">
        <f>VLOOKUP(D8,'A13 - Tabelle'!$A$6:$G$13,7)</f>
        <v>36235.46</v>
      </c>
      <c r="G8" s="18">
        <f t="shared" si="0"/>
        <v>33715.46</v>
      </c>
      <c r="H8" s="19"/>
      <c r="I8" s="16">
        <v>3</v>
      </c>
      <c r="J8" s="17">
        <f>VLOOKUP(I8,'E13 - Tabelle'!$A$7:$L$18,11)</f>
        <v>53664.630000000005</v>
      </c>
      <c r="K8" s="20">
        <f>VLOOKUP(I8,'E13 - Tabelle'!$A$7:$L$18,12)</f>
        <v>30294.75</v>
      </c>
      <c r="L8" s="28">
        <f t="shared" si="1"/>
        <v>-3420.709999999999</v>
      </c>
      <c r="M8" s="32">
        <f aca="true" t="shared" si="12" ref="M8:M46">L8+M7</f>
        <v>-6841.419999999998</v>
      </c>
      <c r="N8" s="8">
        <v>2</v>
      </c>
      <c r="O8" s="8">
        <v>28</v>
      </c>
      <c r="P8" s="47"/>
      <c r="Q8" s="47"/>
      <c r="R8" s="342"/>
      <c r="S8" s="221"/>
      <c r="T8" s="228"/>
      <c r="U8" s="229">
        <f t="shared" si="2"/>
        <v>279.22499999999997</v>
      </c>
      <c r="V8" s="229">
        <f t="shared" si="2"/>
        <v>37.29375</v>
      </c>
      <c r="W8" s="229">
        <f t="shared" si="3"/>
        <v>67.08078750000001</v>
      </c>
      <c r="X8" s="229">
        <f t="shared" si="3"/>
        <v>438.2611450000001</v>
      </c>
      <c r="Y8" s="229">
        <f t="shared" si="3"/>
        <v>288.4473862500001</v>
      </c>
      <c r="Z8" s="230">
        <f t="shared" si="4"/>
        <v>1110.3080687500003</v>
      </c>
      <c r="AA8" s="230">
        <f t="shared" si="5"/>
        <v>4472.052500000001</v>
      </c>
      <c r="AB8" s="231">
        <f t="shared" si="6"/>
        <v>5582.360568750001</v>
      </c>
      <c r="AC8" s="232"/>
      <c r="AD8" s="245">
        <f t="shared" si="7"/>
        <v>2524.5625</v>
      </c>
      <c r="AE8" s="246">
        <f t="shared" si="8"/>
        <v>3057.798068750001</v>
      </c>
      <c r="AF8" s="232"/>
      <c r="AG8" s="251">
        <f t="shared" si="9"/>
        <v>313.65000000000003</v>
      </c>
      <c r="AH8" s="251">
        <f t="shared" si="9"/>
        <v>37.29375</v>
      </c>
      <c r="AI8" s="229">
        <f t="shared" si="10"/>
        <v>67.08078750000001</v>
      </c>
      <c r="AJ8" s="229">
        <f t="shared" si="10"/>
        <v>438.2611450000001</v>
      </c>
      <c r="AK8" s="229">
        <f t="shared" si="10"/>
        <v>63.055940250000006</v>
      </c>
      <c r="AL8" s="255">
        <f t="shared" si="11"/>
        <v>919.3416227500002</v>
      </c>
    </row>
    <row r="9" spans="1:38" ht="11.25" customHeight="1">
      <c r="A9" s="8">
        <v>3</v>
      </c>
      <c r="B9" s="8">
        <v>29</v>
      </c>
      <c r="C9" s="8"/>
      <c r="D9" s="16">
        <v>2</v>
      </c>
      <c r="E9" s="17">
        <f>VLOOKUP(D9,'A13 - Tabelle'!$A$6:$F$13,6)</f>
        <v>49409.64</v>
      </c>
      <c r="F9" s="17">
        <f>VLOOKUP(D9,'A13 - Tabelle'!$A$6:$G$13,7)</f>
        <v>37624.24</v>
      </c>
      <c r="G9" s="18">
        <f t="shared" si="0"/>
        <v>35104.24</v>
      </c>
      <c r="H9" s="19"/>
      <c r="I9" s="16">
        <v>4</v>
      </c>
      <c r="J9" s="17">
        <f>VLOOKUP(I9,'E13 - Tabelle'!$A$7:$L$18,11)</f>
        <v>58944.380000000005</v>
      </c>
      <c r="K9" s="20">
        <f>VLOOKUP(I9,'E13 - Tabelle'!$A$7:$L$18,12)</f>
        <v>32694.79</v>
      </c>
      <c r="L9" s="28">
        <f t="shared" si="1"/>
        <v>-2409.449999999997</v>
      </c>
      <c r="M9" s="32">
        <f t="shared" si="12"/>
        <v>-9250.869999999995</v>
      </c>
      <c r="N9" s="8">
        <v>3</v>
      </c>
      <c r="O9" s="8">
        <v>29</v>
      </c>
      <c r="P9" s="47"/>
      <c r="Q9" s="47"/>
      <c r="R9" s="342"/>
      <c r="S9" s="221"/>
      <c r="T9" s="228"/>
      <c r="U9" s="229">
        <f t="shared" si="2"/>
        <v>279.22499999999997</v>
      </c>
      <c r="V9" s="229">
        <f t="shared" si="2"/>
        <v>37.29375</v>
      </c>
      <c r="W9" s="229">
        <f t="shared" si="3"/>
        <v>73.680475</v>
      </c>
      <c r="X9" s="229">
        <f t="shared" si="3"/>
        <v>481.3791033333334</v>
      </c>
      <c r="Y9" s="229">
        <f t="shared" si="3"/>
        <v>316.8260425</v>
      </c>
      <c r="Z9" s="230">
        <f t="shared" si="4"/>
        <v>1188.4043708333334</v>
      </c>
      <c r="AA9" s="230">
        <f t="shared" si="5"/>
        <v>4912.031666666667</v>
      </c>
      <c r="AB9" s="231">
        <f t="shared" si="6"/>
        <v>6100.4360375</v>
      </c>
      <c r="AC9" s="232"/>
      <c r="AD9" s="245">
        <f t="shared" si="7"/>
        <v>2724.5658333333336</v>
      </c>
      <c r="AE9" s="246">
        <f t="shared" si="8"/>
        <v>3375.870204166666</v>
      </c>
      <c r="AF9" s="232"/>
      <c r="AG9" s="251">
        <f t="shared" si="9"/>
        <v>313.65000000000003</v>
      </c>
      <c r="AH9" s="251">
        <f t="shared" si="9"/>
        <v>37.29375</v>
      </c>
      <c r="AI9" s="229">
        <f t="shared" si="10"/>
        <v>73.680475</v>
      </c>
      <c r="AJ9" s="229">
        <f t="shared" si="10"/>
        <v>481.3791033333334</v>
      </c>
      <c r="AK9" s="229">
        <f t="shared" si="10"/>
        <v>69.2596465</v>
      </c>
      <c r="AL9" s="255">
        <f t="shared" si="11"/>
        <v>975.2629748333335</v>
      </c>
    </row>
    <row r="10" spans="1:38" ht="11.25" customHeight="1">
      <c r="A10" s="8">
        <v>4</v>
      </c>
      <c r="B10" s="8">
        <v>30</v>
      </c>
      <c r="C10" s="8"/>
      <c r="D10" s="16">
        <v>2</v>
      </c>
      <c r="E10" s="17">
        <f>VLOOKUP(D10,'A13 - Tabelle'!$A$6:$F$13,6)</f>
        <v>49409.64</v>
      </c>
      <c r="F10" s="17">
        <f>VLOOKUP(D10,'A13 - Tabelle'!$A$6:$G$13,7)</f>
        <v>37624.24</v>
      </c>
      <c r="G10" s="18">
        <f t="shared" si="0"/>
        <v>35104.24</v>
      </c>
      <c r="H10" s="19"/>
      <c r="I10" s="16">
        <v>4</v>
      </c>
      <c r="J10" s="17">
        <f>VLOOKUP(I10,'E13 - Tabelle'!$A$7:$L$18,11)</f>
        <v>58944.380000000005</v>
      </c>
      <c r="K10" s="20">
        <f>VLOOKUP(I10,'E13 - Tabelle'!$A$7:$L$18,12)</f>
        <v>32694.79</v>
      </c>
      <c r="L10" s="28">
        <f t="shared" si="1"/>
        <v>-2409.449999999997</v>
      </c>
      <c r="M10" s="32">
        <f t="shared" si="12"/>
        <v>-11660.319999999992</v>
      </c>
      <c r="N10" s="8">
        <v>4</v>
      </c>
      <c r="O10" s="8">
        <v>30</v>
      </c>
      <c r="P10" s="47"/>
      <c r="Q10" s="47"/>
      <c r="R10" s="342"/>
      <c r="S10" s="221"/>
      <c r="T10" s="228"/>
      <c r="U10" s="229">
        <f t="shared" si="2"/>
        <v>279.22499999999997</v>
      </c>
      <c r="V10" s="229">
        <f t="shared" si="2"/>
        <v>37.29375</v>
      </c>
      <c r="W10" s="229">
        <f t="shared" si="3"/>
        <v>73.680475</v>
      </c>
      <c r="X10" s="229">
        <f t="shared" si="3"/>
        <v>481.3791033333334</v>
      </c>
      <c r="Y10" s="229">
        <f t="shared" si="3"/>
        <v>316.8260425</v>
      </c>
      <c r="Z10" s="230">
        <f t="shared" si="4"/>
        <v>1188.4043708333334</v>
      </c>
      <c r="AA10" s="230">
        <f t="shared" si="5"/>
        <v>4912.031666666667</v>
      </c>
      <c r="AB10" s="231">
        <f t="shared" si="6"/>
        <v>6100.4360375</v>
      </c>
      <c r="AC10" s="232"/>
      <c r="AD10" s="245">
        <f t="shared" si="7"/>
        <v>2724.5658333333336</v>
      </c>
      <c r="AE10" s="246">
        <f t="shared" si="8"/>
        <v>3375.870204166666</v>
      </c>
      <c r="AF10" s="232"/>
      <c r="AG10" s="251">
        <f t="shared" si="9"/>
        <v>313.65000000000003</v>
      </c>
      <c r="AH10" s="251">
        <f t="shared" si="9"/>
        <v>37.29375</v>
      </c>
      <c r="AI10" s="229">
        <f t="shared" si="10"/>
        <v>73.680475</v>
      </c>
      <c r="AJ10" s="229">
        <f t="shared" si="10"/>
        <v>481.3791033333334</v>
      </c>
      <c r="AK10" s="229">
        <f t="shared" si="10"/>
        <v>69.2596465</v>
      </c>
      <c r="AL10" s="255">
        <f t="shared" si="11"/>
        <v>975.2629748333335</v>
      </c>
    </row>
    <row r="11" spans="1:38" ht="11.25" customHeight="1">
      <c r="A11" s="8">
        <v>5</v>
      </c>
      <c r="B11" s="8">
        <v>31</v>
      </c>
      <c r="C11" s="8"/>
      <c r="D11" s="16">
        <v>2</v>
      </c>
      <c r="E11" s="17">
        <f>VLOOKUP(D11,'A13 - Tabelle'!$A$6:$F$13,6)</f>
        <v>49409.64</v>
      </c>
      <c r="F11" s="17">
        <f>VLOOKUP(D11,'A13 - Tabelle'!$A$6:$G$13,7)</f>
        <v>37624.24</v>
      </c>
      <c r="G11" s="18">
        <f t="shared" si="0"/>
        <v>35104.24</v>
      </c>
      <c r="H11" s="19"/>
      <c r="I11" s="16">
        <v>5</v>
      </c>
      <c r="J11" s="17">
        <f>VLOOKUP(I11,'E13 - Tabelle'!$A$7:$L$18,11)</f>
        <v>66242.88</v>
      </c>
      <c r="K11" s="20">
        <f>VLOOKUP(I11,'E13 - Tabelle'!$A$7:$L$18,12)</f>
        <v>35826.83</v>
      </c>
      <c r="L11" s="29">
        <f t="shared" si="1"/>
        <v>722.5900000000038</v>
      </c>
      <c r="M11" s="32">
        <f t="shared" si="12"/>
        <v>-10937.729999999989</v>
      </c>
      <c r="N11" s="8">
        <v>5</v>
      </c>
      <c r="O11" s="8">
        <v>31</v>
      </c>
      <c r="P11" s="47"/>
      <c r="Q11" s="47"/>
      <c r="R11" s="342"/>
      <c r="S11" s="221"/>
      <c r="T11" s="228"/>
      <c r="U11" s="229">
        <f t="shared" si="2"/>
        <v>279.22499999999997</v>
      </c>
      <c r="V11" s="229">
        <f t="shared" si="2"/>
        <v>37.29375</v>
      </c>
      <c r="W11" s="229">
        <f t="shared" si="3"/>
        <v>82.8036</v>
      </c>
      <c r="X11" s="229">
        <f t="shared" si="3"/>
        <v>540.9835200000001</v>
      </c>
      <c r="Y11" s="229">
        <f t="shared" si="3"/>
        <v>356.05548000000005</v>
      </c>
      <c r="Z11" s="230">
        <f t="shared" si="4"/>
        <v>1296.3613500000001</v>
      </c>
      <c r="AA11" s="230">
        <f t="shared" si="5"/>
        <v>5520.240000000001</v>
      </c>
      <c r="AB11" s="231">
        <f t="shared" si="6"/>
        <v>6816.601350000001</v>
      </c>
      <c r="AC11" s="232"/>
      <c r="AD11" s="245">
        <f t="shared" si="7"/>
        <v>2985.5691666666667</v>
      </c>
      <c r="AE11" s="246">
        <f t="shared" si="8"/>
        <v>3831.032183333334</v>
      </c>
      <c r="AF11" s="232"/>
      <c r="AG11" s="251">
        <f t="shared" si="9"/>
        <v>313.65000000000003</v>
      </c>
      <c r="AH11" s="251">
        <f t="shared" si="9"/>
        <v>37.29375</v>
      </c>
      <c r="AI11" s="229">
        <f t="shared" si="10"/>
        <v>82.8036</v>
      </c>
      <c r="AJ11" s="229">
        <f t="shared" si="10"/>
        <v>540.9835200000001</v>
      </c>
      <c r="AK11" s="229">
        <f t="shared" si="10"/>
        <v>77.835384</v>
      </c>
      <c r="AL11" s="255">
        <f t="shared" si="11"/>
        <v>1052.566254</v>
      </c>
    </row>
    <row r="12" spans="1:38" ht="11.25" customHeight="1">
      <c r="A12" s="8">
        <v>6</v>
      </c>
      <c r="B12" s="8">
        <v>32</v>
      </c>
      <c r="C12" s="8"/>
      <c r="D12" s="16">
        <v>3</v>
      </c>
      <c r="E12" s="17">
        <f>VLOOKUP(D12,'A13 - Tabelle'!$A$6:$F$13,6)</f>
        <v>51730.799999999996</v>
      </c>
      <c r="F12" s="17">
        <f>VLOOKUP(D12,'A13 - Tabelle'!$A$6:$G$13,7)</f>
        <v>38986.4</v>
      </c>
      <c r="G12" s="18">
        <f t="shared" si="0"/>
        <v>36466.4</v>
      </c>
      <c r="H12" s="19"/>
      <c r="I12" s="16">
        <v>5</v>
      </c>
      <c r="J12" s="17">
        <f>VLOOKUP(I12,'E13 - Tabelle'!$A$7:$L$18,11)</f>
        <v>66242.88</v>
      </c>
      <c r="K12" s="20">
        <f>VLOOKUP(I12,'E13 - Tabelle'!$A$7:$L$18,12)</f>
        <v>35826.83</v>
      </c>
      <c r="L12" s="29">
        <f t="shared" si="1"/>
        <v>-639.5699999999997</v>
      </c>
      <c r="M12" s="159">
        <f t="shared" si="12"/>
        <v>-11577.299999999988</v>
      </c>
      <c r="N12" s="8">
        <v>6</v>
      </c>
      <c r="O12" s="8">
        <v>32</v>
      </c>
      <c r="P12" s="47"/>
      <c r="Q12" s="47"/>
      <c r="R12" s="342"/>
      <c r="S12" s="221"/>
      <c r="T12" s="228"/>
      <c r="U12" s="229">
        <f t="shared" si="2"/>
        <v>279.22499999999997</v>
      </c>
      <c r="V12" s="229">
        <f t="shared" si="2"/>
        <v>37.29375</v>
      </c>
      <c r="W12" s="229">
        <f t="shared" si="3"/>
        <v>82.8036</v>
      </c>
      <c r="X12" s="229">
        <f t="shared" si="3"/>
        <v>540.9835200000001</v>
      </c>
      <c r="Y12" s="229">
        <f t="shared" si="3"/>
        <v>356.05548000000005</v>
      </c>
      <c r="Z12" s="230">
        <f t="shared" si="4"/>
        <v>1296.3613500000001</v>
      </c>
      <c r="AA12" s="230">
        <f t="shared" si="5"/>
        <v>5520.240000000001</v>
      </c>
      <c r="AB12" s="231">
        <f t="shared" si="6"/>
        <v>6816.601350000001</v>
      </c>
      <c r="AC12" s="232"/>
      <c r="AD12" s="245">
        <f t="shared" si="7"/>
        <v>2985.5691666666667</v>
      </c>
      <c r="AE12" s="246">
        <f t="shared" si="8"/>
        <v>3831.032183333334</v>
      </c>
      <c r="AF12" s="232"/>
      <c r="AG12" s="251">
        <f t="shared" si="9"/>
        <v>313.65000000000003</v>
      </c>
      <c r="AH12" s="251">
        <f t="shared" si="9"/>
        <v>37.29375</v>
      </c>
      <c r="AI12" s="229">
        <f t="shared" si="10"/>
        <v>82.8036</v>
      </c>
      <c r="AJ12" s="229">
        <f t="shared" si="10"/>
        <v>540.9835200000001</v>
      </c>
      <c r="AK12" s="229">
        <f t="shared" si="10"/>
        <v>77.835384</v>
      </c>
      <c r="AL12" s="255">
        <f t="shared" si="11"/>
        <v>1052.566254</v>
      </c>
    </row>
    <row r="13" spans="1:38" ht="11.25" customHeight="1">
      <c r="A13" s="8">
        <v>7</v>
      </c>
      <c r="B13" s="8">
        <v>33</v>
      </c>
      <c r="C13" s="8"/>
      <c r="D13" s="16">
        <v>3</v>
      </c>
      <c r="E13" s="17">
        <f>VLOOKUP(D13,'A13 - Tabelle'!$A$6:$F$13,6)</f>
        <v>51730.799999999996</v>
      </c>
      <c r="F13" s="17">
        <f>VLOOKUP(D13,'A13 - Tabelle'!$A$6:$G$13,7)</f>
        <v>38986.4</v>
      </c>
      <c r="G13" s="18">
        <f t="shared" si="0"/>
        <v>36466.4</v>
      </c>
      <c r="H13" s="19"/>
      <c r="I13" s="414">
        <v>7</v>
      </c>
      <c r="J13" s="17">
        <f>VLOOKUP(I13,'E13 - Tabelle'!$A$7:$L$18,11)</f>
        <v>76024.704</v>
      </c>
      <c r="K13" s="20">
        <f>VLOOKUP(I13,'E13 - Tabelle'!$A$7:$L$18,12)</f>
        <v>40338.47</v>
      </c>
      <c r="L13" s="28">
        <f t="shared" si="1"/>
        <v>3872.0699999999997</v>
      </c>
      <c r="M13" s="159">
        <f t="shared" si="12"/>
        <v>-7705.229999999989</v>
      </c>
      <c r="N13" s="8">
        <v>7</v>
      </c>
      <c r="O13" s="8">
        <v>33</v>
      </c>
      <c r="P13" s="47"/>
      <c r="Q13" s="47"/>
      <c r="R13" s="342"/>
      <c r="S13" s="221"/>
      <c r="T13" s="228"/>
      <c r="U13" s="229">
        <f t="shared" si="2"/>
        <v>279.22499999999997</v>
      </c>
      <c r="V13" s="229">
        <f t="shared" si="2"/>
        <v>37.29375</v>
      </c>
      <c r="W13" s="229">
        <f t="shared" si="3"/>
        <v>95.03088</v>
      </c>
      <c r="X13" s="229">
        <f t="shared" si="3"/>
        <v>620.868416</v>
      </c>
      <c r="Y13" s="229">
        <f t="shared" si="3"/>
        <v>408.632784</v>
      </c>
      <c r="Z13" s="230">
        <f t="shared" si="4"/>
        <v>1441.0508300000001</v>
      </c>
      <c r="AA13" s="230">
        <f t="shared" si="5"/>
        <v>6335.392</v>
      </c>
      <c r="AB13" s="231">
        <f t="shared" si="6"/>
        <v>7776.44283</v>
      </c>
      <c r="AC13" s="232"/>
      <c r="AD13" s="245">
        <f t="shared" si="7"/>
        <v>3361.539166666667</v>
      </c>
      <c r="AE13" s="246">
        <f t="shared" si="8"/>
        <v>4414.903663333333</v>
      </c>
      <c r="AF13" s="232"/>
      <c r="AG13" s="251">
        <f t="shared" si="9"/>
        <v>313.65000000000003</v>
      </c>
      <c r="AH13" s="251">
        <f t="shared" si="9"/>
        <v>37.29375</v>
      </c>
      <c r="AI13" s="229">
        <f t="shared" si="10"/>
        <v>95.03088</v>
      </c>
      <c r="AJ13" s="229">
        <f t="shared" si="10"/>
        <v>620.868416</v>
      </c>
      <c r="AK13" s="229">
        <f t="shared" si="10"/>
        <v>89.3290272</v>
      </c>
      <c r="AL13" s="255">
        <f t="shared" si="11"/>
        <v>1156.1720731999999</v>
      </c>
    </row>
    <row r="14" spans="1:38" ht="11.25" customHeight="1">
      <c r="A14" s="8">
        <v>8</v>
      </c>
      <c r="B14" s="8">
        <v>34</v>
      </c>
      <c r="C14" s="8"/>
      <c r="D14" s="16">
        <v>3</v>
      </c>
      <c r="E14" s="17">
        <f>VLOOKUP(D14,'A13 - Tabelle'!$A$6:$F$13,6)</f>
        <v>51730.799999999996</v>
      </c>
      <c r="F14" s="17">
        <f>VLOOKUP(D14,'A13 - Tabelle'!$A$6:$G$13,7)</f>
        <v>38986.4</v>
      </c>
      <c r="G14" s="18">
        <f t="shared" si="0"/>
        <v>36466.4</v>
      </c>
      <c r="H14" s="19"/>
      <c r="I14" s="414">
        <v>7</v>
      </c>
      <c r="J14" s="17">
        <f>VLOOKUP(I14,'E13 - Tabelle'!$A$7:$L$18,11)</f>
        <v>76024.704</v>
      </c>
      <c r="K14" s="20">
        <f>VLOOKUP(I14,'E13 - Tabelle'!$A$7:$L$18,12)</f>
        <v>40338.47</v>
      </c>
      <c r="L14" s="28">
        <f t="shared" si="1"/>
        <v>3872.0699999999997</v>
      </c>
      <c r="M14" s="32">
        <f t="shared" si="12"/>
        <v>-3833.159999999989</v>
      </c>
      <c r="N14" s="8">
        <v>8</v>
      </c>
      <c r="O14" s="8">
        <v>34</v>
      </c>
      <c r="P14" s="47"/>
      <c r="Q14" s="47"/>
      <c r="R14" s="342"/>
      <c r="S14" s="221"/>
      <c r="T14" s="228"/>
      <c r="U14" s="229">
        <f t="shared" si="2"/>
        <v>279.22499999999997</v>
      </c>
      <c r="V14" s="229">
        <f t="shared" si="2"/>
        <v>37.29375</v>
      </c>
      <c r="W14" s="229">
        <f t="shared" si="3"/>
        <v>95.03088</v>
      </c>
      <c r="X14" s="229">
        <f t="shared" si="3"/>
        <v>620.868416</v>
      </c>
      <c r="Y14" s="229">
        <f t="shared" si="3"/>
        <v>408.632784</v>
      </c>
      <c r="Z14" s="230">
        <f t="shared" si="4"/>
        <v>1441.0508300000001</v>
      </c>
      <c r="AA14" s="230">
        <f t="shared" si="5"/>
        <v>6335.392</v>
      </c>
      <c r="AB14" s="231">
        <f t="shared" si="6"/>
        <v>7776.44283</v>
      </c>
      <c r="AC14" s="232"/>
      <c r="AD14" s="245">
        <f t="shared" si="7"/>
        <v>3361.539166666667</v>
      </c>
      <c r="AE14" s="246">
        <f t="shared" si="8"/>
        <v>4414.903663333333</v>
      </c>
      <c r="AF14" s="232"/>
      <c r="AG14" s="251">
        <f t="shared" si="9"/>
        <v>313.65000000000003</v>
      </c>
      <c r="AH14" s="251">
        <f t="shared" si="9"/>
        <v>37.29375</v>
      </c>
      <c r="AI14" s="229">
        <f t="shared" si="10"/>
        <v>95.03088</v>
      </c>
      <c r="AJ14" s="229">
        <f t="shared" si="10"/>
        <v>620.868416</v>
      </c>
      <c r="AK14" s="229">
        <f t="shared" si="10"/>
        <v>89.3290272</v>
      </c>
      <c r="AL14" s="255">
        <f t="shared" si="11"/>
        <v>1156.1720731999999</v>
      </c>
    </row>
    <row r="15" spans="1:38" ht="11.25" customHeight="1">
      <c r="A15" s="8">
        <v>9</v>
      </c>
      <c r="B15" s="8">
        <v>35</v>
      </c>
      <c r="C15" s="8"/>
      <c r="D15" s="16">
        <v>4</v>
      </c>
      <c r="E15" s="17">
        <f>VLOOKUP(D15,'A13 - Tabelle'!$A$6:$F$13,6)</f>
        <v>54066.240000000005</v>
      </c>
      <c r="F15" s="17">
        <f>VLOOKUP(D15,'A13 - Tabelle'!$A$6:$G$13,7)</f>
        <v>40332.25</v>
      </c>
      <c r="G15" s="18">
        <f t="shared" si="0"/>
        <v>37812.25</v>
      </c>
      <c r="H15" s="19"/>
      <c r="I15" s="414">
        <v>7</v>
      </c>
      <c r="J15" s="17">
        <f>VLOOKUP(I15,'E13 - Tabelle'!$A$7:$L$18,11)</f>
        <v>76024.704</v>
      </c>
      <c r="K15" s="20">
        <f>VLOOKUP(I15,'E13 - Tabelle'!$A$7:$L$18,12)</f>
        <v>40338.47</v>
      </c>
      <c r="L15" s="28">
        <f t="shared" si="1"/>
        <v>2526.220000000001</v>
      </c>
      <c r="M15" s="32">
        <f t="shared" si="12"/>
        <v>-1306.9399999999878</v>
      </c>
      <c r="N15" s="8">
        <v>9</v>
      </c>
      <c r="O15" s="8">
        <v>35</v>
      </c>
      <c r="P15" s="47"/>
      <c r="Q15" s="47"/>
      <c r="R15" s="342"/>
      <c r="S15" s="221"/>
      <c r="T15" s="228"/>
      <c r="U15" s="229">
        <f t="shared" si="2"/>
        <v>279.22499999999997</v>
      </c>
      <c r="V15" s="229">
        <f t="shared" si="2"/>
        <v>37.29375</v>
      </c>
      <c r="W15" s="229">
        <f t="shared" si="3"/>
        <v>95.03088</v>
      </c>
      <c r="X15" s="229">
        <f t="shared" si="3"/>
        <v>620.868416</v>
      </c>
      <c r="Y15" s="229">
        <f t="shared" si="3"/>
        <v>408.632784</v>
      </c>
      <c r="Z15" s="230">
        <f t="shared" si="4"/>
        <v>1441.0508300000001</v>
      </c>
      <c r="AA15" s="230">
        <f t="shared" si="5"/>
        <v>6335.392</v>
      </c>
      <c r="AB15" s="231">
        <f t="shared" si="6"/>
        <v>7776.44283</v>
      </c>
      <c r="AC15" s="232"/>
      <c r="AD15" s="245">
        <f t="shared" si="7"/>
        <v>3361.539166666667</v>
      </c>
      <c r="AE15" s="246">
        <f t="shared" si="8"/>
        <v>4414.903663333333</v>
      </c>
      <c r="AF15" s="232"/>
      <c r="AG15" s="251">
        <f t="shared" si="9"/>
        <v>313.65000000000003</v>
      </c>
      <c r="AH15" s="251">
        <f t="shared" si="9"/>
        <v>37.29375</v>
      </c>
      <c r="AI15" s="229">
        <f t="shared" si="10"/>
        <v>95.03088</v>
      </c>
      <c r="AJ15" s="229">
        <f t="shared" si="10"/>
        <v>620.868416</v>
      </c>
      <c r="AK15" s="229">
        <f t="shared" si="10"/>
        <v>89.3290272</v>
      </c>
      <c r="AL15" s="255">
        <f t="shared" si="11"/>
        <v>1156.1720731999999</v>
      </c>
    </row>
    <row r="16" spans="1:38" ht="11.25" customHeight="1">
      <c r="A16" s="8">
        <v>10</v>
      </c>
      <c r="B16" s="8">
        <v>36</v>
      </c>
      <c r="C16" s="8"/>
      <c r="D16" s="16">
        <v>4</v>
      </c>
      <c r="E16" s="17">
        <f>VLOOKUP(D16,'A13 - Tabelle'!$A$6:$F$13,6)</f>
        <v>54066.240000000005</v>
      </c>
      <c r="F16" s="17">
        <f>VLOOKUP(D16,'A13 - Tabelle'!$A$6:$G$13,7)</f>
        <v>40332.25</v>
      </c>
      <c r="G16" s="18">
        <f t="shared" si="0"/>
        <v>37812.25</v>
      </c>
      <c r="H16" s="19"/>
      <c r="I16" s="414">
        <v>7</v>
      </c>
      <c r="J16" s="17">
        <f>VLOOKUP(I16,'E13 - Tabelle'!$A$7:$L$18,11)</f>
        <v>76024.704</v>
      </c>
      <c r="K16" s="20">
        <f>VLOOKUP(I16,'E13 - Tabelle'!$A$7:$L$18,12)</f>
        <v>40338.47</v>
      </c>
      <c r="L16" s="28">
        <f t="shared" si="1"/>
        <v>2526.220000000001</v>
      </c>
      <c r="M16" s="32">
        <f t="shared" si="12"/>
        <v>1219.2800000000134</v>
      </c>
      <c r="N16" s="8">
        <v>10</v>
      </c>
      <c r="O16" s="8">
        <v>36</v>
      </c>
      <c r="P16" s="47"/>
      <c r="Q16" s="47"/>
      <c r="R16" s="342"/>
      <c r="S16" s="221"/>
      <c r="T16" s="228"/>
      <c r="U16" s="229">
        <f t="shared" si="2"/>
        <v>279.22499999999997</v>
      </c>
      <c r="V16" s="229">
        <f t="shared" si="2"/>
        <v>37.29375</v>
      </c>
      <c r="W16" s="229">
        <f t="shared" si="3"/>
        <v>95.03088</v>
      </c>
      <c r="X16" s="229">
        <f t="shared" si="3"/>
        <v>620.868416</v>
      </c>
      <c r="Y16" s="229">
        <f t="shared" si="3"/>
        <v>408.632784</v>
      </c>
      <c r="Z16" s="230">
        <f t="shared" si="4"/>
        <v>1441.0508300000001</v>
      </c>
      <c r="AA16" s="230">
        <f t="shared" si="5"/>
        <v>6335.392</v>
      </c>
      <c r="AB16" s="231">
        <f t="shared" si="6"/>
        <v>7776.44283</v>
      </c>
      <c r="AC16" s="232"/>
      <c r="AD16" s="245">
        <f t="shared" si="7"/>
        <v>3361.539166666667</v>
      </c>
      <c r="AE16" s="246">
        <f t="shared" si="8"/>
        <v>4414.903663333333</v>
      </c>
      <c r="AF16" s="232"/>
      <c r="AG16" s="251">
        <f t="shared" si="9"/>
        <v>313.65000000000003</v>
      </c>
      <c r="AH16" s="251">
        <f t="shared" si="9"/>
        <v>37.29375</v>
      </c>
      <c r="AI16" s="229">
        <f t="shared" si="10"/>
        <v>95.03088</v>
      </c>
      <c r="AJ16" s="229">
        <f t="shared" si="10"/>
        <v>620.868416</v>
      </c>
      <c r="AK16" s="229">
        <f t="shared" si="10"/>
        <v>89.3290272</v>
      </c>
      <c r="AL16" s="255">
        <f t="shared" si="11"/>
        <v>1156.1720731999999</v>
      </c>
    </row>
    <row r="17" spans="1:38" ht="11.25" customHeight="1">
      <c r="A17" s="8">
        <v>11</v>
      </c>
      <c r="B17" s="8">
        <v>37</v>
      </c>
      <c r="C17" s="8"/>
      <c r="D17" s="16">
        <v>4</v>
      </c>
      <c r="E17" s="17">
        <f>VLOOKUP(D17,'A13 - Tabelle'!$A$6:$F$13,6)</f>
        <v>54066.240000000005</v>
      </c>
      <c r="F17" s="17">
        <f>VLOOKUP(D17,'A13 - Tabelle'!$A$6:$G$13,7)</f>
        <v>40332.25</v>
      </c>
      <c r="G17" s="18">
        <f t="shared" si="0"/>
        <v>37812.25</v>
      </c>
      <c r="H17" s="19"/>
      <c r="I17" s="414">
        <v>7</v>
      </c>
      <c r="J17" s="17">
        <f>VLOOKUP(I17,'E13 - Tabelle'!$A$7:$L$18,11)</f>
        <v>76024.704</v>
      </c>
      <c r="K17" s="20">
        <f>VLOOKUP(I17,'E13 - Tabelle'!$A$7:$L$18,12)</f>
        <v>40338.47</v>
      </c>
      <c r="L17" s="28">
        <f t="shared" si="1"/>
        <v>2526.220000000001</v>
      </c>
      <c r="M17" s="32">
        <f t="shared" si="12"/>
        <v>3745.5000000000146</v>
      </c>
      <c r="N17" s="8">
        <v>11</v>
      </c>
      <c r="O17" s="8">
        <v>37</v>
      </c>
      <c r="P17" s="47"/>
      <c r="Q17" s="47"/>
      <c r="R17" s="342"/>
      <c r="S17" s="221"/>
      <c r="T17" s="228"/>
      <c r="U17" s="229">
        <f t="shared" si="2"/>
        <v>279.22499999999997</v>
      </c>
      <c r="V17" s="229">
        <f t="shared" si="2"/>
        <v>37.29375</v>
      </c>
      <c r="W17" s="229">
        <f t="shared" si="3"/>
        <v>95.03088</v>
      </c>
      <c r="X17" s="229">
        <f t="shared" si="3"/>
        <v>620.868416</v>
      </c>
      <c r="Y17" s="229">
        <f t="shared" si="3"/>
        <v>408.632784</v>
      </c>
      <c r="Z17" s="230">
        <f t="shared" si="4"/>
        <v>1441.0508300000001</v>
      </c>
      <c r="AA17" s="230">
        <f t="shared" si="5"/>
        <v>6335.392</v>
      </c>
      <c r="AB17" s="231">
        <f t="shared" si="6"/>
        <v>7776.44283</v>
      </c>
      <c r="AC17" s="232"/>
      <c r="AD17" s="245">
        <f t="shared" si="7"/>
        <v>3361.539166666667</v>
      </c>
      <c r="AE17" s="246">
        <f t="shared" si="8"/>
        <v>4414.903663333333</v>
      </c>
      <c r="AF17" s="232"/>
      <c r="AG17" s="251">
        <f t="shared" si="9"/>
        <v>313.65000000000003</v>
      </c>
      <c r="AH17" s="251">
        <f t="shared" si="9"/>
        <v>37.29375</v>
      </c>
      <c r="AI17" s="229">
        <f t="shared" si="10"/>
        <v>95.03088</v>
      </c>
      <c r="AJ17" s="229">
        <f t="shared" si="10"/>
        <v>620.868416</v>
      </c>
      <c r="AK17" s="229">
        <f t="shared" si="10"/>
        <v>89.3290272</v>
      </c>
      <c r="AL17" s="255">
        <f t="shared" si="11"/>
        <v>1156.1720731999999</v>
      </c>
    </row>
    <row r="18" spans="1:38" ht="11.25" customHeight="1">
      <c r="A18" s="8">
        <v>12</v>
      </c>
      <c r="B18" s="8">
        <v>38</v>
      </c>
      <c r="C18" s="8"/>
      <c r="D18" s="16">
        <v>5</v>
      </c>
      <c r="E18" s="17">
        <f>VLOOKUP(D18,'A13 - Tabelle'!$A$6:$F$13,6)</f>
        <v>56257.68000000001</v>
      </c>
      <c r="F18" s="17">
        <f>VLOOKUP(D18,'A13 - Tabelle'!$A$6:$G$13,7)</f>
        <v>41572.08</v>
      </c>
      <c r="G18" s="18">
        <f t="shared" si="0"/>
        <v>39052.08</v>
      </c>
      <c r="H18" s="19"/>
      <c r="I18" s="414">
        <v>7</v>
      </c>
      <c r="J18" s="17">
        <f>VLOOKUP(I18,'E13 - Tabelle'!$A$7:$L$18,11)</f>
        <v>76024.704</v>
      </c>
      <c r="K18" s="20">
        <f>VLOOKUP(I18,'E13 - Tabelle'!$A$7:$L$18,12)</f>
        <v>40338.47</v>
      </c>
      <c r="L18" s="28">
        <f t="shared" si="1"/>
        <v>1286.3899999999994</v>
      </c>
      <c r="M18" s="32">
        <f t="shared" si="12"/>
        <v>5031.890000000014</v>
      </c>
      <c r="N18" s="8">
        <v>12</v>
      </c>
      <c r="O18" s="8">
        <v>38</v>
      </c>
      <c r="P18" s="47"/>
      <c r="Q18" s="47"/>
      <c r="R18" s="342"/>
      <c r="S18" s="221"/>
      <c r="T18" s="228"/>
      <c r="U18" s="229">
        <f t="shared" si="2"/>
        <v>279.22499999999997</v>
      </c>
      <c r="V18" s="229">
        <f t="shared" si="2"/>
        <v>37.29375</v>
      </c>
      <c r="W18" s="229">
        <f t="shared" si="3"/>
        <v>95.03088</v>
      </c>
      <c r="X18" s="229">
        <f t="shared" si="3"/>
        <v>620.868416</v>
      </c>
      <c r="Y18" s="229">
        <f t="shared" si="3"/>
        <v>408.632784</v>
      </c>
      <c r="Z18" s="230">
        <f t="shared" si="4"/>
        <v>1441.0508300000001</v>
      </c>
      <c r="AA18" s="230">
        <f t="shared" si="5"/>
        <v>6335.392</v>
      </c>
      <c r="AB18" s="231">
        <f t="shared" si="6"/>
        <v>7776.44283</v>
      </c>
      <c r="AC18" s="232"/>
      <c r="AD18" s="245">
        <f t="shared" si="7"/>
        <v>3361.539166666667</v>
      </c>
      <c r="AE18" s="246">
        <f t="shared" si="8"/>
        <v>4414.903663333333</v>
      </c>
      <c r="AF18" s="232"/>
      <c r="AG18" s="251">
        <f t="shared" si="9"/>
        <v>313.65000000000003</v>
      </c>
      <c r="AH18" s="251">
        <f t="shared" si="9"/>
        <v>37.29375</v>
      </c>
      <c r="AI18" s="229">
        <f t="shared" si="10"/>
        <v>95.03088</v>
      </c>
      <c r="AJ18" s="229">
        <f t="shared" si="10"/>
        <v>620.868416</v>
      </c>
      <c r="AK18" s="229">
        <f t="shared" si="10"/>
        <v>89.3290272</v>
      </c>
      <c r="AL18" s="255">
        <f t="shared" si="11"/>
        <v>1156.1720731999999</v>
      </c>
    </row>
    <row r="19" spans="1:38" ht="11.25" customHeight="1">
      <c r="A19" s="8">
        <v>13</v>
      </c>
      <c r="B19" s="8">
        <v>39</v>
      </c>
      <c r="C19" s="8"/>
      <c r="D19" s="16">
        <v>5</v>
      </c>
      <c r="E19" s="17">
        <f>VLOOKUP(D19,'A13 - Tabelle'!$A$6:$F$13,6)</f>
        <v>56257.68000000001</v>
      </c>
      <c r="F19" s="17">
        <f>VLOOKUP(D19,'A13 - Tabelle'!$A$6:$G$13,7)</f>
        <v>41572.08</v>
      </c>
      <c r="G19" s="18">
        <f t="shared" si="0"/>
        <v>39052.08</v>
      </c>
      <c r="H19" s="19"/>
      <c r="I19" s="414">
        <v>7</v>
      </c>
      <c r="J19" s="17">
        <f>VLOOKUP(I19,'E13 - Tabelle'!$A$7:$L$18,11)</f>
        <v>76024.704</v>
      </c>
      <c r="K19" s="20">
        <f>VLOOKUP(I19,'E13 - Tabelle'!$A$7:$L$18,12)</f>
        <v>40338.47</v>
      </c>
      <c r="L19" s="28">
        <f t="shared" si="1"/>
        <v>1286.3899999999994</v>
      </c>
      <c r="M19" s="32">
        <f t="shared" si="12"/>
        <v>6318.280000000013</v>
      </c>
      <c r="N19" s="8">
        <v>13</v>
      </c>
      <c r="O19" s="8">
        <v>39</v>
      </c>
      <c r="P19" s="47"/>
      <c r="Q19" s="47"/>
      <c r="R19" s="342"/>
      <c r="S19" s="221"/>
      <c r="T19" s="228"/>
      <c r="U19" s="229">
        <f t="shared" si="2"/>
        <v>279.22499999999997</v>
      </c>
      <c r="V19" s="229">
        <f t="shared" si="2"/>
        <v>37.29375</v>
      </c>
      <c r="W19" s="229">
        <f t="shared" si="3"/>
        <v>95.03088</v>
      </c>
      <c r="X19" s="229">
        <f t="shared" si="3"/>
        <v>620.868416</v>
      </c>
      <c r="Y19" s="229">
        <f t="shared" si="3"/>
        <v>408.632784</v>
      </c>
      <c r="Z19" s="230">
        <f t="shared" si="4"/>
        <v>1441.0508300000001</v>
      </c>
      <c r="AA19" s="230">
        <f t="shared" si="5"/>
        <v>6335.392</v>
      </c>
      <c r="AB19" s="231">
        <f t="shared" si="6"/>
        <v>7776.44283</v>
      </c>
      <c r="AC19" s="232"/>
      <c r="AD19" s="245">
        <f t="shared" si="7"/>
        <v>3361.539166666667</v>
      </c>
      <c r="AE19" s="246">
        <f t="shared" si="8"/>
        <v>4414.903663333333</v>
      </c>
      <c r="AF19" s="232"/>
      <c r="AG19" s="251">
        <f t="shared" si="9"/>
        <v>313.65000000000003</v>
      </c>
      <c r="AH19" s="251">
        <f t="shared" si="9"/>
        <v>37.29375</v>
      </c>
      <c r="AI19" s="229">
        <f t="shared" si="10"/>
        <v>95.03088</v>
      </c>
      <c r="AJ19" s="229">
        <f t="shared" si="10"/>
        <v>620.868416</v>
      </c>
      <c r="AK19" s="229">
        <f t="shared" si="10"/>
        <v>89.3290272</v>
      </c>
      <c r="AL19" s="255">
        <f t="shared" si="11"/>
        <v>1156.1720731999999</v>
      </c>
    </row>
    <row r="20" spans="1:38" ht="11.25" customHeight="1">
      <c r="A20" s="8">
        <v>14</v>
      </c>
      <c r="B20" s="8">
        <v>40</v>
      </c>
      <c r="C20" s="8"/>
      <c r="D20" s="16">
        <v>5</v>
      </c>
      <c r="E20" s="17">
        <f>VLOOKUP(D20,'A13 - Tabelle'!$A$6:$F$13,6)</f>
        <v>56257.68000000001</v>
      </c>
      <c r="F20" s="17">
        <f>VLOOKUP(D20,'A13 - Tabelle'!$A$6:$G$13,7)</f>
        <v>41572.08</v>
      </c>
      <c r="G20" s="18">
        <f t="shared" si="0"/>
        <v>39052.08</v>
      </c>
      <c r="H20" s="19"/>
      <c r="I20" s="414">
        <v>7</v>
      </c>
      <c r="J20" s="17">
        <f>VLOOKUP(I20,'E13 - Tabelle'!$A$7:$L$18,11)</f>
        <v>76024.704</v>
      </c>
      <c r="K20" s="20">
        <f>VLOOKUP(I20,'E13 - Tabelle'!$A$7:$L$18,12)</f>
        <v>40338.47</v>
      </c>
      <c r="L20" s="28">
        <f t="shared" si="1"/>
        <v>1286.3899999999994</v>
      </c>
      <c r="M20" s="32">
        <f t="shared" si="12"/>
        <v>7604.670000000013</v>
      </c>
      <c r="N20" s="8">
        <v>14</v>
      </c>
      <c r="O20" s="8">
        <v>40</v>
      </c>
      <c r="P20" s="47"/>
      <c r="Q20" s="47"/>
      <c r="R20" s="342"/>
      <c r="S20" s="221"/>
      <c r="T20" s="228"/>
      <c r="U20" s="229">
        <f t="shared" si="2"/>
        <v>279.22499999999997</v>
      </c>
      <c r="V20" s="229">
        <f t="shared" si="2"/>
        <v>37.29375</v>
      </c>
      <c r="W20" s="229">
        <f t="shared" si="3"/>
        <v>95.03088</v>
      </c>
      <c r="X20" s="229">
        <f t="shared" si="3"/>
        <v>620.868416</v>
      </c>
      <c r="Y20" s="229">
        <f t="shared" si="3"/>
        <v>408.632784</v>
      </c>
      <c r="Z20" s="230">
        <f t="shared" si="4"/>
        <v>1441.0508300000001</v>
      </c>
      <c r="AA20" s="230">
        <f t="shared" si="5"/>
        <v>6335.392</v>
      </c>
      <c r="AB20" s="231">
        <f t="shared" si="6"/>
        <v>7776.44283</v>
      </c>
      <c r="AC20" s="232"/>
      <c r="AD20" s="245">
        <f t="shared" si="7"/>
        <v>3361.539166666667</v>
      </c>
      <c r="AE20" s="246">
        <f t="shared" si="8"/>
        <v>4414.903663333333</v>
      </c>
      <c r="AF20" s="232"/>
      <c r="AG20" s="251">
        <f t="shared" si="9"/>
        <v>313.65000000000003</v>
      </c>
      <c r="AH20" s="251">
        <f t="shared" si="9"/>
        <v>37.29375</v>
      </c>
      <c r="AI20" s="229">
        <f t="shared" si="10"/>
        <v>95.03088</v>
      </c>
      <c r="AJ20" s="229">
        <f t="shared" si="10"/>
        <v>620.868416</v>
      </c>
      <c r="AK20" s="229">
        <f t="shared" si="10"/>
        <v>89.3290272</v>
      </c>
      <c r="AL20" s="255">
        <f t="shared" si="11"/>
        <v>1156.1720731999999</v>
      </c>
    </row>
    <row r="21" spans="1:38" ht="11.25" customHeight="1">
      <c r="A21" s="8">
        <v>15</v>
      </c>
      <c r="B21" s="8">
        <v>41</v>
      </c>
      <c r="C21" s="8"/>
      <c r="D21" s="16">
        <v>5</v>
      </c>
      <c r="E21" s="17">
        <f>VLOOKUP(D21,'A13 - Tabelle'!$A$6:$F$13,6)</f>
        <v>56257.68000000001</v>
      </c>
      <c r="F21" s="17">
        <f>VLOOKUP(D21,'A13 - Tabelle'!$A$6:$G$13,7)</f>
        <v>41572.08</v>
      </c>
      <c r="G21" s="18">
        <f t="shared" si="0"/>
        <v>39052.08</v>
      </c>
      <c r="H21" s="19"/>
      <c r="I21" s="414">
        <v>7</v>
      </c>
      <c r="J21" s="17">
        <f>VLOOKUP(I21,'E13 - Tabelle'!$A$7:$L$18,11)</f>
        <v>76024.704</v>
      </c>
      <c r="K21" s="20">
        <f>VLOOKUP(I21,'E13 - Tabelle'!$A$7:$L$18,12)</f>
        <v>40338.47</v>
      </c>
      <c r="L21" s="28">
        <f t="shared" si="1"/>
        <v>1286.3899999999994</v>
      </c>
      <c r="M21" s="32">
        <f t="shared" si="12"/>
        <v>8891.060000000012</v>
      </c>
      <c r="N21" s="8">
        <v>15</v>
      </c>
      <c r="O21" s="8">
        <v>41</v>
      </c>
      <c r="P21" s="47"/>
      <c r="Q21" s="47"/>
      <c r="R21" s="342"/>
      <c r="S21" s="221"/>
      <c r="T21" s="228"/>
      <c r="U21" s="229">
        <f t="shared" si="2"/>
        <v>279.22499999999997</v>
      </c>
      <c r="V21" s="229">
        <f t="shared" si="2"/>
        <v>37.29375</v>
      </c>
      <c r="W21" s="229">
        <f t="shared" si="3"/>
        <v>95.03088</v>
      </c>
      <c r="X21" s="229">
        <f t="shared" si="3"/>
        <v>620.868416</v>
      </c>
      <c r="Y21" s="229">
        <f t="shared" si="3"/>
        <v>408.632784</v>
      </c>
      <c r="Z21" s="230">
        <f t="shared" si="4"/>
        <v>1441.0508300000001</v>
      </c>
      <c r="AA21" s="230">
        <f t="shared" si="5"/>
        <v>6335.392</v>
      </c>
      <c r="AB21" s="231">
        <f t="shared" si="6"/>
        <v>7776.44283</v>
      </c>
      <c r="AC21" s="232"/>
      <c r="AD21" s="245">
        <f t="shared" si="7"/>
        <v>3361.539166666667</v>
      </c>
      <c r="AE21" s="246">
        <f t="shared" si="8"/>
        <v>4414.903663333333</v>
      </c>
      <c r="AF21" s="232"/>
      <c r="AG21" s="251">
        <f t="shared" si="9"/>
        <v>313.65000000000003</v>
      </c>
      <c r="AH21" s="251">
        <f t="shared" si="9"/>
        <v>37.29375</v>
      </c>
      <c r="AI21" s="229">
        <f t="shared" si="10"/>
        <v>95.03088</v>
      </c>
      <c r="AJ21" s="229">
        <f t="shared" si="10"/>
        <v>620.868416</v>
      </c>
      <c r="AK21" s="229">
        <f t="shared" si="10"/>
        <v>89.3290272</v>
      </c>
      <c r="AL21" s="255">
        <f t="shared" si="11"/>
        <v>1156.1720731999999</v>
      </c>
    </row>
    <row r="22" spans="1:38" ht="11.25" customHeight="1">
      <c r="A22" s="8">
        <v>16</v>
      </c>
      <c r="B22" s="8">
        <v>42</v>
      </c>
      <c r="C22" s="8"/>
      <c r="D22" s="16">
        <v>6</v>
      </c>
      <c r="E22" s="17">
        <f>VLOOKUP(D22,'A13 - Tabelle'!$A$6:$F$13,6)</f>
        <v>57295.799999999996</v>
      </c>
      <c r="F22" s="17">
        <f>VLOOKUP(D22,'A13 - Tabelle'!$A$6:$G$13,7)</f>
        <v>42151.28</v>
      </c>
      <c r="G22" s="18">
        <f t="shared" si="0"/>
        <v>39631.28</v>
      </c>
      <c r="H22" s="19"/>
      <c r="I22" s="414">
        <v>7</v>
      </c>
      <c r="J22" s="17">
        <f>VLOOKUP(I22,'E13 - Tabelle'!$A$7:$L$18,11)</f>
        <v>76024.704</v>
      </c>
      <c r="K22" s="20">
        <f>VLOOKUP(I22,'E13 - Tabelle'!$A$7:$L$18,12)</f>
        <v>40338.47</v>
      </c>
      <c r="L22" s="28">
        <f>K22-G22</f>
        <v>707.1900000000023</v>
      </c>
      <c r="M22" s="32">
        <f t="shared" si="12"/>
        <v>9598.250000000015</v>
      </c>
      <c r="N22" s="8">
        <v>16</v>
      </c>
      <c r="O22" s="8">
        <v>42</v>
      </c>
      <c r="P22" s="47"/>
      <c r="Q22" s="47"/>
      <c r="R22" s="342"/>
      <c r="S22" s="221"/>
      <c r="T22" s="228"/>
      <c r="U22" s="229">
        <f t="shared" si="2"/>
        <v>279.22499999999997</v>
      </c>
      <c r="V22" s="229">
        <f t="shared" si="2"/>
        <v>37.29375</v>
      </c>
      <c r="W22" s="229">
        <f t="shared" si="3"/>
        <v>95.03088</v>
      </c>
      <c r="X22" s="229">
        <f t="shared" si="3"/>
        <v>620.868416</v>
      </c>
      <c r="Y22" s="229">
        <f t="shared" si="3"/>
        <v>408.632784</v>
      </c>
      <c r="Z22" s="230">
        <f t="shared" si="4"/>
        <v>1441.0508300000001</v>
      </c>
      <c r="AA22" s="230">
        <f t="shared" si="5"/>
        <v>6335.392</v>
      </c>
      <c r="AB22" s="231">
        <f t="shared" si="6"/>
        <v>7776.44283</v>
      </c>
      <c r="AC22" s="232"/>
      <c r="AD22" s="245">
        <f t="shared" si="7"/>
        <v>3361.539166666667</v>
      </c>
      <c r="AE22" s="246">
        <f t="shared" si="8"/>
        <v>4414.903663333333</v>
      </c>
      <c r="AF22" s="232"/>
      <c r="AG22" s="251">
        <f t="shared" si="9"/>
        <v>313.65000000000003</v>
      </c>
      <c r="AH22" s="251">
        <f t="shared" si="9"/>
        <v>37.29375</v>
      </c>
      <c r="AI22" s="229">
        <f t="shared" si="10"/>
        <v>95.03088</v>
      </c>
      <c r="AJ22" s="229">
        <f t="shared" si="10"/>
        <v>620.868416</v>
      </c>
      <c r="AK22" s="229">
        <f t="shared" si="10"/>
        <v>89.3290272</v>
      </c>
      <c r="AL22" s="255">
        <f t="shared" si="11"/>
        <v>1156.1720731999999</v>
      </c>
    </row>
    <row r="23" spans="1:38" ht="11.25" customHeight="1">
      <c r="A23" s="8">
        <v>17</v>
      </c>
      <c r="B23" s="8">
        <v>43</v>
      </c>
      <c r="C23" s="8"/>
      <c r="D23" s="16">
        <v>6</v>
      </c>
      <c r="E23" s="17">
        <f>VLOOKUP(D23,'A13 - Tabelle'!$A$6:$F$13,6)</f>
        <v>57295.799999999996</v>
      </c>
      <c r="F23" s="17">
        <f>VLOOKUP(D23,'A13 - Tabelle'!$A$6:$G$13,7)</f>
        <v>42151.28</v>
      </c>
      <c r="G23" s="18">
        <f t="shared" si="0"/>
        <v>39631.28</v>
      </c>
      <c r="H23" s="19"/>
      <c r="I23" s="414">
        <v>7</v>
      </c>
      <c r="J23" s="17">
        <f>VLOOKUP(I23,'E13 - Tabelle'!$A$7:$L$18,11)</f>
        <v>76024.704</v>
      </c>
      <c r="K23" s="20">
        <f>VLOOKUP(I23,'E13 - Tabelle'!$A$7:$L$18,12)</f>
        <v>40338.47</v>
      </c>
      <c r="L23" s="28">
        <f t="shared" si="1"/>
        <v>707.1900000000023</v>
      </c>
      <c r="M23" s="32">
        <f t="shared" si="12"/>
        <v>10305.440000000017</v>
      </c>
      <c r="N23" s="8">
        <v>17</v>
      </c>
      <c r="O23" s="8">
        <v>43</v>
      </c>
      <c r="P23" s="47"/>
      <c r="Q23" s="47"/>
      <c r="R23" s="342"/>
      <c r="S23" s="221"/>
      <c r="T23" s="228"/>
      <c r="U23" s="229">
        <f t="shared" si="2"/>
        <v>279.22499999999997</v>
      </c>
      <c r="V23" s="229">
        <f t="shared" si="2"/>
        <v>37.29375</v>
      </c>
      <c r="W23" s="229">
        <f t="shared" si="3"/>
        <v>95.03088</v>
      </c>
      <c r="X23" s="229">
        <f t="shared" si="3"/>
        <v>620.868416</v>
      </c>
      <c r="Y23" s="229">
        <f t="shared" si="3"/>
        <v>408.632784</v>
      </c>
      <c r="Z23" s="230">
        <f t="shared" si="4"/>
        <v>1441.0508300000001</v>
      </c>
      <c r="AA23" s="230">
        <f t="shared" si="5"/>
        <v>6335.392</v>
      </c>
      <c r="AB23" s="231">
        <f t="shared" si="6"/>
        <v>7776.44283</v>
      </c>
      <c r="AC23" s="232"/>
      <c r="AD23" s="245">
        <f t="shared" si="7"/>
        <v>3361.539166666667</v>
      </c>
      <c r="AE23" s="246">
        <f t="shared" si="8"/>
        <v>4414.903663333333</v>
      </c>
      <c r="AF23" s="232"/>
      <c r="AG23" s="251">
        <f t="shared" si="9"/>
        <v>313.65000000000003</v>
      </c>
      <c r="AH23" s="251">
        <f t="shared" si="9"/>
        <v>37.29375</v>
      </c>
      <c r="AI23" s="229">
        <f t="shared" si="10"/>
        <v>95.03088</v>
      </c>
      <c r="AJ23" s="229">
        <f t="shared" si="10"/>
        <v>620.868416</v>
      </c>
      <c r="AK23" s="229">
        <f t="shared" si="10"/>
        <v>89.3290272</v>
      </c>
      <c r="AL23" s="255">
        <f t="shared" si="11"/>
        <v>1156.1720731999999</v>
      </c>
    </row>
    <row r="24" spans="1:38" ht="11.25" customHeight="1">
      <c r="A24" s="8">
        <v>18</v>
      </c>
      <c r="B24" s="8">
        <v>44</v>
      </c>
      <c r="C24" s="8"/>
      <c r="D24" s="16">
        <v>6</v>
      </c>
      <c r="E24" s="17">
        <f>VLOOKUP(D24,'A13 - Tabelle'!$A$6:$F$13,6)</f>
        <v>57295.799999999996</v>
      </c>
      <c r="F24" s="17">
        <f>VLOOKUP(D24,'A13 - Tabelle'!$A$6:$G$13,7)</f>
        <v>42151.28</v>
      </c>
      <c r="G24" s="18">
        <f t="shared" si="0"/>
        <v>39631.28</v>
      </c>
      <c r="H24" s="19"/>
      <c r="I24" s="414">
        <v>7</v>
      </c>
      <c r="J24" s="17">
        <f>VLOOKUP(I24,'E13 - Tabelle'!$A$7:$L$18,11)</f>
        <v>76024.704</v>
      </c>
      <c r="K24" s="20">
        <f>VLOOKUP(I24,'E13 - Tabelle'!$A$7:$L$18,12)</f>
        <v>40338.47</v>
      </c>
      <c r="L24" s="28">
        <f t="shared" si="1"/>
        <v>707.1900000000023</v>
      </c>
      <c r="M24" s="32">
        <f t="shared" si="12"/>
        <v>11012.63000000002</v>
      </c>
      <c r="N24" s="8">
        <v>18</v>
      </c>
      <c r="O24" s="8">
        <v>44</v>
      </c>
      <c r="P24" s="47"/>
      <c r="Q24" s="47"/>
      <c r="R24" s="342"/>
      <c r="S24" s="221"/>
      <c r="T24" s="228"/>
      <c r="U24" s="229">
        <f t="shared" si="2"/>
        <v>279.22499999999997</v>
      </c>
      <c r="V24" s="229">
        <f t="shared" si="2"/>
        <v>37.29375</v>
      </c>
      <c r="W24" s="229">
        <f t="shared" si="3"/>
        <v>95.03088</v>
      </c>
      <c r="X24" s="229">
        <f t="shared" si="3"/>
        <v>620.868416</v>
      </c>
      <c r="Y24" s="229">
        <f t="shared" si="3"/>
        <v>408.632784</v>
      </c>
      <c r="Z24" s="230">
        <f t="shared" si="4"/>
        <v>1441.0508300000001</v>
      </c>
      <c r="AA24" s="230">
        <f t="shared" si="5"/>
        <v>6335.392</v>
      </c>
      <c r="AB24" s="231">
        <f t="shared" si="6"/>
        <v>7776.44283</v>
      </c>
      <c r="AC24" s="232"/>
      <c r="AD24" s="245">
        <f t="shared" si="7"/>
        <v>3361.539166666667</v>
      </c>
      <c r="AE24" s="246">
        <f t="shared" si="8"/>
        <v>4414.903663333333</v>
      </c>
      <c r="AF24" s="232"/>
      <c r="AG24" s="251">
        <f t="shared" si="9"/>
        <v>313.65000000000003</v>
      </c>
      <c r="AH24" s="251">
        <f t="shared" si="9"/>
        <v>37.29375</v>
      </c>
      <c r="AI24" s="229">
        <f t="shared" si="10"/>
        <v>95.03088</v>
      </c>
      <c r="AJ24" s="229">
        <f t="shared" si="10"/>
        <v>620.868416</v>
      </c>
      <c r="AK24" s="229">
        <f t="shared" si="10"/>
        <v>89.3290272</v>
      </c>
      <c r="AL24" s="255">
        <f t="shared" si="11"/>
        <v>1156.1720731999999</v>
      </c>
    </row>
    <row r="25" spans="1:38" ht="11.25" customHeight="1">
      <c r="A25" s="8">
        <v>19</v>
      </c>
      <c r="B25" s="8">
        <v>45</v>
      </c>
      <c r="C25" s="8"/>
      <c r="D25" s="16">
        <v>6</v>
      </c>
      <c r="E25" s="17">
        <f>VLOOKUP(D25,'A13 - Tabelle'!$A$6:$F$13,6)</f>
        <v>57295.799999999996</v>
      </c>
      <c r="F25" s="17">
        <f>VLOOKUP(D25,'A13 - Tabelle'!$A$6:$G$13,7)</f>
        <v>42151.28</v>
      </c>
      <c r="G25" s="18">
        <f t="shared" si="0"/>
        <v>39631.28</v>
      </c>
      <c r="H25" s="19"/>
      <c r="I25" s="414">
        <v>7</v>
      </c>
      <c r="J25" s="17">
        <f>VLOOKUP(I25,'E13 - Tabelle'!$A$7:$L$18,11)</f>
        <v>76024.704</v>
      </c>
      <c r="K25" s="20">
        <f>VLOOKUP(I25,'E13 - Tabelle'!$A$7:$L$18,12)</f>
        <v>40338.47</v>
      </c>
      <c r="L25" s="29">
        <f t="shared" si="1"/>
        <v>707.1900000000023</v>
      </c>
      <c r="M25" s="32">
        <f t="shared" si="12"/>
        <v>11719.820000000022</v>
      </c>
      <c r="N25" s="8">
        <v>19</v>
      </c>
      <c r="O25" s="8">
        <v>45</v>
      </c>
      <c r="P25" s="47"/>
      <c r="Q25" s="47"/>
      <c r="R25" s="342"/>
      <c r="S25" s="221"/>
      <c r="T25" s="228"/>
      <c r="U25" s="229">
        <f t="shared" si="2"/>
        <v>279.22499999999997</v>
      </c>
      <c r="V25" s="229">
        <f t="shared" si="2"/>
        <v>37.29375</v>
      </c>
      <c r="W25" s="229">
        <f t="shared" si="3"/>
        <v>95.03088</v>
      </c>
      <c r="X25" s="229">
        <f t="shared" si="3"/>
        <v>620.868416</v>
      </c>
      <c r="Y25" s="229">
        <f t="shared" si="3"/>
        <v>408.632784</v>
      </c>
      <c r="Z25" s="230">
        <f t="shared" si="4"/>
        <v>1441.0508300000001</v>
      </c>
      <c r="AA25" s="230">
        <f t="shared" si="5"/>
        <v>6335.392</v>
      </c>
      <c r="AB25" s="231">
        <f t="shared" si="6"/>
        <v>7776.44283</v>
      </c>
      <c r="AC25" s="232"/>
      <c r="AD25" s="245">
        <f t="shared" si="7"/>
        <v>3361.539166666667</v>
      </c>
      <c r="AE25" s="246">
        <f t="shared" si="8"/>
        <v>4414.903663333333</v>
      </c>
      <c r="AF25" s="232"/>
      <c r="AG25" s="251">
        <f t="shared" si="9"/>
        <v>313.65000000000003</v>
      </c>
      <c r="AH25" s="251">
        <f t="shared" si="9"/>
        <v>37.29375</v>
      </c>
      <c r="AI25" s="229">
        <f t="shared" si="10"/>
        <v>95.03088</v>
      </c>
      <c r="AJ25" s="229">
        <f t="shared" si="10"/>
        <v>620.868416</v>
      </c>
      <c r="AK25" s="229">
        <f t="shared" si="10"/>
        <v>89.3290272</v>
      </c>
      <c r="AL25" s="255">
        <f t="shared" si="11"/>
        <v>1156.1720731999999</v>
      </c>
    </row>
    <row r="26" spans="1:38" ht="11.25" customHeight="1">
      <c r="A26" s="8">
        <v>20</v>
      </c>
      <c r="B26" s="8">
        <v>46</v>
      </c>
      <c r="C26" s="8"/>
      <c r="D26" s="16">
        <v>7</v>
      </c>
      <c r="E26" s="17">
        <f>VLOOKUP(D26,'A13 - Tabelle'!$A$6:$F$13,6)</f>
        <v>59487.12</v>
      </c>
      <c r="F26" s="17">
        <f>VLOOKUP(D26,'A13 - Tabelle'!$A$6:$G$13,7)</f>
        <v>43372</v>
      </c>
      <c r="G26" s="18">
        <f t="shared" si="0"/>
        <v>40852</v>
      </c>
      <c r="H26" s="19"/>
      <c r="I26" s="414">
        <v>7</v>
      </c>
      <c r="J26" s="17">
        <f>VLOOKUP(I26,'E13 - Tabelle'!$A$7:$L$18,11)</f>
        <v>76024.704</v>
      </c>
      <c r="K26" s="20">
        <f>VLOOKUP(I26,'E13 - Tabelle'!$A$7:$L$18,12)</f>
        <v>40338.47</v>
      </c>
      <c r="L26" s="29">
        <f t="shared" si="1"/>
        <v>-513.5299999999988</v>
      </c>
      <c r="M26" s="32">
        <f t="shared" si="12"/>
        <v>11206.290000000023</v>
      </c>
      <c r="N26" s="8">
        <v>20</v>
      </c>
      <c r="O26" s="8">
        <v>46</v>
      </c>
      <c r="P26" s="47"/>
      <c r="Q26" s="47"/>
      <c r="R26" s="342"/>
      <c r="S26" s="221"/>
      <c r="T26" s="228"/>
      <c r="U26" s="229">
        <f t="shared" si="2"/>
        <v>279.22499999999997</v>
      </c>
      <c r="V26" s="229">
        <f t="shared" si="2"/>
        <v>37.29375</v>
      </c>
      <c r="W26" s="229">
        <f t="shared" si="3"/>
        <v>95.03088</v>
      </c>
      <c r="X26" s="229">
        <f t="shared" si="3"/>
        <v>620.868416</v>
      </c>
      <c r="Y26" s="229">
        <f t="shared" si="3"/>
        <v>408.632784</v>
      </c>
      <c r="Z26" s="230">
        <f t="shared" si="4"/>
        <v>1441.0508300000001</v>
      </c>
      <c r="AA26" s="230">
        <f t="shared" si="5"/>
        <v>6335.392</v>
      </c>
      <c r="AB26" s="231">
        <f t="shared" si="6"/>
        <v>7776.44283</v>
      </c>
      <c r="AC26" s="232"/>
      <c r="AD26" s="245">
        <f t="shared" si="7"/>
        <v>3361.539166666667</v>
      </c>
      <c r="AE26" s="246">
        <f t="shared" si="8"/>
        <v>4414.903663333333</v>
      </c>
      <c r="AF26" s="232"/>
      <c r="AG26" s="251">
        <f t="shared" si="9"/>
        <v>313.65000000000003</v>
      </c>
      <c r="AH26" s="251">
        <f t="shared" si="9"/>
        <v>37.29375</v>
      </c>
      <c r="AI26" s="229">
        <f t="shared" si="10"/>
        <v>95.03088</v>
      </c>
      <c r="AJ26" s="229">
        <f t="shared" si="10"/>
        <v>620.868416</v>
      </c>
      <c r="AK26" s="229">
        <f t="shared" si="10"/>
        <v>89.3290272</v>
      </c>
      <c r="AL26" s="255">
        <f t="shared" si="11"/>
        <v>1156.1720731999999</v>
      </c>
    </row>
    <row r="27" spans="1:38" ht="11.25" customHeight="1">
      <c r="A27" s="8">
        <v>21</v>
      </c>
      <c r="B27" s="8">
        <v>47</v>
      </c>
      <c r="C27" s="8"/>
      <c r="D27" s="16">
        <v>7</v>
      </c>
      <c r="E27" s="17">
        <f>VLOOKUP(D27,'A13 - Tabelle'!$A$6:$F$13,6)</f>
        <v>59487.12</v>
      </c>
      <c r="F27" s="17">
        <f>VLOOKUP(D27,'A13 - Tabelle'!$A$6:$G$13,7)</f>
        <v>43372</v>
      </c>
      <c r="G27" s="18">
        <f t="shared" si="0"/>
        <v>40852</v>
      </c>
      <c r="H27" s="19"/>
      <c r="I27" s="414">
        <v>7</v>
      </c>
      <c r="J27" s="17">
        <f>VLOOKUP(I27,'E13 - Tabelle'!$A$7:$L$18,11)</f>
        <v>76024.704</v>
      </c>
      <c r="K27" s="20">
        <f>VLOOKUP(I27,'E13 - Tabelle'!$A$7:$L$18,12)</f>
        <v>40338.47</v>
      </c>
      <c r="L27" s="28">
        <f t="shared" si="1"/>
        <v>-513.5299999999988</v>
      </c>
      <c r="M27" s="32">
        <f t="shared" si="12"/>
        <v>10692.760000000024</v>
      </c>
      <c r="N27" s="8">
        <v>21</v>
      </c>
      <c r="O27" s="8">
        <v>47</v>
      </c>
      <c r="P27" s="49"/>
      <c r="Q27" s="49"/>
      <c r="R27" s="342"/>
      <c r="S27" s="221"/>
      <c r="T27" s="228"/>
      <c r="U27" s="229">
        <f aca="true" t="shared" si="13" ref="U27:V46">IF(($J27&lt;$AB$1),$J27/12*U$5,$AB$1/12*U$5)</f>
        <v>279.22499999999997</v>
      </c>
      <c r="V27" s="229">
        <f t="shared" si="13"/>
        <v>37.29375</v>
      </c>
      <c r="W27" s="229">
        <f aca="true" t="shared" si="14" ref="W27:Y46">$J27/12*W$5</f>
        <v>95.03088</v>
      </c>
      <c r="X27" s="229">
        <f t="shared" si="14"/>
        <v>620.868416</v>
      </c>
      <c r="Y27" s="229">
        <f t="shared" si="14"/>
        <v>408.632784</v>
      </c>
      <c r="Z27" s="230">
        <f t="shared" si="4"/>
        <v>1441.0508300000001</v>
      </c>
      <c r="AA27" s="230">
        <f t="shared" si="5"/>
        <v>6335.392</v>
      </c>
      <c r="AB27" s="231">
        <f t="shared" si="6"/>
        <v>7776.44283</v>
      </c>
      <c r="AC27" s="232"/>
      <c r="AD27" s="245">
        <f t="shared" si="7"/>
        <v>3361.539166666667</v>
      </c>
      <c r="AE27" s="246">
        <f t="shared" si="8"/>
        <v>4414.903663333333</v>
      </c>
      <c r="AF27" s="232"/>
      <c r="AG27" s="251">
        <f aca="true" t="shared" si="15" ref="AG27:AH46">IF(($J27&lt;$AB$1),$J27/12*AG$5,$AB$1/12*AG$5)</f>
        <v>313.65000000000003</v>
      </c>
      <c r="AH27" s="251">
        <f t="shared" si="15"/>
        <v>37.29375</v>
      </c>
      <c r="AI27" s="229">
        <f aca="true" t="shared" si="16" ref="AI27:AK46">$J27/12*AI$5</f>
        <v>95.03088</v>
      </c>
      <c r="AJ27" s="229">
        <f t="shared" si="16"/>
        <v>620.868416</v>
      </c>
      <c r="AK27" s="229">
        <f t="shared" si="16"/>
        <v>89.3290272</v>
      </c>
      <c r="AL27" s="255">
        <f t="shared" si="11"/>
        <v>1156.1720731999999</v>
      </c>
    </row>
    <row r="28" spans="1:38" ht="11.25" customHeight="1">
      <c r="A28" s="8">
        <v>22</v>
      </c>
      <c r="B28" s="8">
        <v>48</v>
      </c>
      <c r="C28" s="8"/>
      <c r="D28" s="16">
        <v>7</v>
      </c>
      <c r="E28" s="17">
        <f>VLOOKUP(D28,'A13 - Tabelle'!$A$6:$F$13,6)</f>
        <v>59487.12</v>
      </c>
      <c r="F28" s="17">
        <f>VLOOKUP(D28,'A13 - Tabelle'!$A$6:$G$13,7)</f>
        <v>43372</v>
      </c>
      <c r="G28" s="18">
        <f t="shared" si="0"/>
        <v>40852</v>
      </c>
      <c r="H28" s="19"/>
      <c r="I28" s="414">
        <v>7</v>
      </c>
      <c r="J28" s="17">
        <f>VLOOKUP(I28,'E13 - Tabelle'!$A$7:$L$18,11)</f>
        <v>76024.704</v>
      </c>
      <c r="K28" s="20">
        <f>VLOOKUP(I28,'E13 - Tabelle'!$A$7:$L$18,12)</f>
        <v>40338.47</v>
      </c>
      <c r="L28" s="28">
        <f t="shared" si="1"/>
        <v>-513.5299999999988</v>
      </c>
      <c r="M28" s="32">
        <f t="shared" si="12"/>
        <v>10179.230000000025</v>
      </c>
      <c r="N28" s="8">
        <v>22</v>
      </c>
      <c r="O28" s="8">
        <v>48</v>
      </c>
      <c r="P28" s="47"/>
      <c r="Q28" s="47"/>
      <c r="R28" s="342"/>
      <c r="S28" s="221"/>
      <c r="T28" s="228"/>
      <c r="U28" s="229">
        <f t="shared" si="13"/>
        <v>279.22499999999997</v>
      </c>
      <c r="V28" s="229">
        <f t="shared" si="13"/>
        <v>37.29375</v>
      </c>
      <c r="W28" s="229">
        <f t="shared" si="14"/>
        <v>95.03088</v>
      </c>
      <c r="X28" s="229">
        <f t="shared" si="14"/>
        <v>620.868416</v>
      </c>
      <c r="Y28" s="229">
        <f t="shared" si="14"/>
        <v>408.632784</v>
      </c>
      <c r="Z28" s="230">
        <f t="shared" si="4"/>
        <v>1441.0508300000001</v>
      </c>
      <c r="AA28" s="230">
        <f t="shared" si="5"/>
        <v>6335.392</v>
      </c>
      <c r="AB28" s="231">
        <f t="shared" si="6"/>
        <v>7776.44283</v>
      </c>
      <c r="AC28" s="232"/>
      <c r="AD28" s="245">
        <f t="shared" si="7"/>
        <v>3361.539166666667</v>
      </c>
      <c r="AE28" s="246">
        <f t="shared" si="8"/>
        <v>4414.903663333333</v>
      </c>
      <c r="AF28" s="232"/>
      <c r="AG28" s="251">
        <f t="shared" si="15"/>
        <v>313.65000000000003</v>
      </c>
      <c r="AH28" s="251">
        <f t="shared" si="15"/>
        <v>37.29375</v>
      </c>
      <c r="AI28" s="229">
        <f t="shared" si="16"/>
        <v>95.03088</v>
      </c>
      <c r="AJ28" s="229">
        <f t="shared" si="16"/>
        <v>620.868416</v>
      </c>
      <c r="AK28" s="229">
        <f t="shared" si="16"/>
        <v>89.3290272</v>
      </c>
      <c r="AL28" s="255">
        <f t="shared" si="11"/>
        <v>1156.1720731999999</v>
      </c>
    </row>
    <row r="29" spans="1:38" ht="11.25" customHeight="1">
      <c r="A29" s="8">
        <v>23</v>
      </c>
      <c r="B29" s="8">
        <v>49</v>
      </c>
      <c r="C29" s="8"/>
      <c r="D29" s="16">
        <v>7</v>
      </c>
      <c r="E29" s="17">
        <f>VLOOKUP(D29,'A13 - Tabelle'!$A$6:$F$13,6)</f>
        <v>59487.12</v>
      </c>
      <c r="F29" s="17">
        <f>VLOOKUP(D29,'A13 - Tabelle'!$A$6:$G$13,7)</f>
        <v>43372</v>
      </c>
      <c r="G29" s="18">
        <f t="shared" si="0"/>
        <v>40852</v>
      </c>
      <c r="H29" s="19"/>
      <c r="I29" s="414">
        <v>7</v>
      </c>
      <c r="J29" s="17">
        <f>VLOOKUP(I29,'E13 - Tabelle'!$A$7:$L$18,11)</f>
        <v>76024.704</v>
      </c>
      <c r="K29" s="20">
        <f>VLOOKUP(I29,'E13 - Tabelle'!$A$7:$L$18,12)</f>
        <v>40338.47</v>
      </c>
      <c r="L29" s="28">
        <f t="shared" si="1"/>
        <v>-513.5299999999988</v>
      </c>
      <c r="M29" s="32">
        <f t="shared" si="12"/>
        <v>9665.700000000026</v>
      </c>
      <c r="N29" s="8">
        <v>23</v>
      </c>
      <c r="O29" s="8">
        <v>49</v>
      </c>
      <c r="P29" s="47"/>
      <c r="Q29" s="47"/>
      <c r="R29" s="342"/>
      <c r="S29" s="221"/>
      <c r="T29" s="228"/>
      <c r="U29" s="229">
        <f t="shared" si="13"/>
        <v>279.22499999999997</v>
      </c>
      <c r="V29" s="229">
        <f t="shared" si="13"/>
        <v>37.29375</v>
      </c>
      <c r="W29" s="229">
        <f t="shared" si="14"/>
        <v>95.03088</v>
      </c>
      <c r="X29" s="229">
        <f t="shared" si="14"/>
        <v>620.868416</v>
      </c>
      <c r="Y29" s="229">
        <f t="shared" si="14"/>
        <v>408.632784</v>
      </c>
      <c r="Z29" s="230">
        <f t="shared" si="4"/>
        <v>1441.0508300000001</v>
      </c>
      <c r="AA29" s="230">
        <f t="shared" si="5"/>
        <v>6335.392</v>
      </c>
      <c r="AB29" s="231">
        <f t="shared" si="6"/>
        <v>7776.44283</v>
      </c>
      <c r="AC29" s="232"/>
      <c r="AD29" s="245">
        <f t="shared" si="7"/>
        <v>3361.539166666667</v>
      </c>
      <c r="AE29" s="246">
        <f t="shared" si="8"/>
        <v>4414.903663333333</v>
      </c>
      <c r="AF29" s="232"/>
      <c r="AG29" s="251">
        <f t="shared" si="15"/>
        <v>313.65000000000003</v>
      </c>
      <c r="AH29" s="251">
        <f t="shared" si="15"/>
        <v>37.29375</v>
      </c>
      <c r="AI29" s="229">
        <f t="shared" si="16"/>
        <v>95.03088</v>
      </c>
      <c r="AJ29" s="229">
        <f t="shared" si="16"/>
        <v>620.868416</v>
      </c>
      <c r="AK29" s="229">
        <f t="shared" si="16"/>
        <v>89.3290272</v>
      </c>
      <c r="AL29" s="255">
        <f t="shared" si="11"/>
        <v>1156.1720731999999</v>
      </c>
    </row>
    <row r="30" spans="1:38" ht="11.25" customHeight="1">
      <c r="A30" s="8">
        <v>24</v>
      </c>
      <c r="B30" s="8">
        <v>50</v>
      </c>
      <c r="C30" s="8"/>
      <c r="D30" s="16">
        <v>8</v>
      </c>
      <c r="E30" s="17">
        <f>VLOOKUP(D30,'A13 - Tabelle'!$A$6:$F$13,6)</f>
        <v>60640.31999999999</v>
      </c>
      <c r="F30" s="17">
        <f>VLOOKUP(D30,'A13 - Tabelle'!$A$6:$G$13,7)</f>
        <v>44013.52</v>
      </c>
      <c r="G30" s="18">
        <f t="shared" si="0"/>
        <v>41493.52</v>
      </c>
      <c r="H30" s="19"/>
      <c r="I30" s="414">
        <v>7</v>
      </c>
      <c r="J30" s="17">
        <f>VLOOKUP(I30,'E13 - Tabelle'!$A$7:$L$18,11)</f>
        <v>76024.704</v>
      </c>
      <c r="K30" s="20">
        <f>VLOOKUP(I30,'E13 - Tabelle'!$A$7:$L$18,12)</f>
        <v>40338.47</v>
      </c>
      <c r="L30" s="28">
        <f t="shared" si="1"/>
        <v>-1155.0499999999956</v>
      </c>
      <c r="M30" s="32">
        <f t="shared" si="12"/>
        <v>8510.65000000003</v>
      </c>
      <c r="N30" s="8">
        <v>24</v>
      </c>
      <c r="O30" s="8">
        <v>50</v>
      </c>
      <c r="P30" s="47"/>
      <c r="Q30" s="47"/>
      <c r="R30" s="342"/>
      <c r="S30" s="221"/>
      <c r="T30" s="228"/>
      <c r="U30" s="229">
        <f t="shared" si="13"/>
        <v>279.22499999999997</v>
      </c>
      <c r="V30" s="229">
        <f t="shared" si="13"/>
        <v>37.29375</v>
      </c>
      <c r="W30" s="229">
        <f t="shared" si="14"/>
        <v>95.03088</v>
      </c>
      <c r="X30" s="229">
        <f t="shared" si="14"/>
        <v>620.868416</v>
      </c>
      <c r="Y30" s="229">
        <f t="shared" si="14"/>
        <v>408.632784</v>
      </c>
      <c r="Z30" s="230">
        <f t="shared" si="4"/>
        <v>1441.0508300000001</v>
      </c>
      <c r="AA30" s="230">
        <f t="shared" si="5"/>
        <v>6335.392</v>
      </c>
      <c r="AB30" s="231">
        <f t="shared" si="6"/>
        <v>7776.44283</v>
      </c>
      <c r="AC30" s="232"/>
      <c r="AD30" s="245">
        <f t="shared" si="7"/>
        <v>3361.539166666667</v>
      </c>
      <c r="AE30" s="246">
        <f t="shared" si="8"/>
        <v>4414.903663333333</v>
      </c>
      <c r="AF30" s="232"/>
      <c r="AG30" s="251">
        <f t="shared" si="15"/>
        <v>313.65000000000003</v>
      </c>
      <c r="AH30" s="251">
        <f t="shared" si="15"/>
        <v>37.29375</v>
      </c>
      <c r="AI30" s="229">
        <f t="shared" si="16"/>
        <v>95.03088</v>
      </c>
      <c r="AJ30" s="229">
        <f t="shared" si="16"/>
        <v>620.868416</v>
      </c>
      <c r="AK30" s="229">
        <f t="shared" si="16"/>
        <v>89.3290272</v>
      </c>
      <c r="AL30" s="255">
        <f t="shared" si="11"/>
        <v>1156.1720731999999</v>
      </c>
    </row>
    <row r="31" spans="1:38" ht="11.25" customHeight="1">
      <c r="A31" s="8">
        <v>25</v>
      </c>
      <c r="B31" s="8">
        <v>51</v>
      </c>
      <c r="C31" s="8"/>
      <c r="D31" s="16">
        <v>8</v>
      </c>
      <c r="E31" s="17">
        <f>VLOOKUP(D31,'A13 - Tabelle'!$A$6:$F$13,6)</f>
        <v>60640.31999999999</v>
      </c>
      <c r="F31" s="17">
        <f>VLOOKUP(D31,'A13 - Tabelle'!$A$6:$G$13,7)</f>
        <v>44013.52</v>
      </c>
      <c r="G31" s="18">
        <f t="shared" si="0"/>
        <v>41493.52</v>
      </c>
      <c r="H31" s="19"/>
      <c r="I31" s="414">
        <v>7</v>
      </c>
      <c r="J31" s="17">
        <f>VLOOKUP(I31,'E13 - Tabelle'!$A$7:$L$18,11)</f>
        <v>76024.704</v>
      </c>
      <c r="K31" s="20">
        <f>VLOOKUP(I31,'E13 - Tabelle'!$A$7:$L$18,12)</f>
        <v>40338.47</v>
      </c>
      <c r="L31" s="28">
        <f t="shared" si="1"/>
        <v>-1155.0499999999956</v>
      </c>
      <c r="M31" s="32">
        <f t="shared" si="12"/>
        <v>7355.600000000035</v>
      </c>
      <c r="N31" s="8">
        <v>25</v>
      </c>
      <c r="O31" s="8">
        <v>51</v>
      </c>
      <c r="P31" s="47"/>
      <c r="Q31" s="47"/>
      <c r="R31" s="342"/>
      <c r="S31" s="221"/>
      <c r="T31" s="228"/>
      <c r="U31" s="229">
        <f t="shared" si="13"/>
        <v>279.22499999999997</v>
      </c>
      <c r="V31" s="229">
        <f t="shared" si="13"/>
        <v>37.29375</v>
      </c>
      <c r="W31" s="229">
        <f t="shared" si="14"/>
        <v>95.03088</v>
      </c>
      <c r="X31" s="229">
        <f t="shared" si="14"/>
        <v>620.868416</v>
      </c>
      <c r="Y31" s="229">
        <f t="shared" si="14"/>
        <v>408.632784</v>
      </c>
      <c r="Z31" s="230">
        <f t="shared" si="4"/>
        <v>1441.0508300000001</v>
      </c>
      <c r="AA31" s="230">
        <f t="shared" si="5"/>
        <v>6335.392</v>
      </c>
      <c r="AB31" s="231">
        <f t="shared" si="6"/>
        <v>7776.44283</v>
      </c>
      <c r="AC31" s="232"/>
      <c r="AD31" s="245">
        <f t="shared" si="7"/>
        <v>3361.539166666667</v>
      </c>
      <c r="AE31" s="246">
        <f t="shared" si="8"/>
        <v>4414.903663333333</v>
      </c>
      <c r="AF31" s="232"/>
      <c r="AG31" s="251">
        <f t="shared" si="15"/>
        <v>313.65000000000003</v>
      </c>
      <c r="AH31" s="251">
        <f t="shared" si="15"/>
        <v>37.29375</v>
      </c>
      <c r="AI31" s="229">
        <f t="shared" si="16"/>
        <v>95.03088</v>
      </c>
      <c r="AJ31" s="229">
        <f t="shared" si="16"/>
        <v>620.868416</v>
      </c>
      <c r="AK31" s="229">
        <f t="shared" si="16"/>
        <v>89.3290272</v>
      </c>
      <c r="AL31" s="255">
        <f t="shared" si="11"/>
        <v>1156.1720731999999</v>
      </c>
    </row>
    <row r="32" spans="1:38" ht="11.25" customHeight="1">
      <c r="A32" s="8">
        <v>26</v>
      </c>
      <c r="B32" s="8">
        <v>52</v>
      </c>
      <c r="C32" s="8"/>
      <c r="D32" s="16">
        <v>8</v>
      </c>
      <c r="E32" s="17">
        <f>VLOOKUP(D32,'A13 - Tabelle'!$A$6:$F$13,6)</f>
        <v>60640.31999999999</v>
      </c>
      <c r="F32" s="17">
        <f>VLOOKUP(D32,'A13 - Tabelle'!$A$6:$G$13,7)</f>
        <v>44013.52</v>
      </c>
      <c r="G32" s="18">
        <f t="shared" si="0"/>
        <v>41493.52</v>
      </c>
      <c r="H32" s="19"/>
      <c r="I32" s="414">
        <v>7</v>
      </c>
      <c r="J32" s="17">
        <f>VLOOKUP(I32,'E13 - Tabelle'!$A$7:$L$18,11)</f>
        <v>76024.704</v>
      </c>
      <c r="K32" s="20">
        <f>VLOOKUP(I32,'E13 - Tabelle'!$A$7:$L$18,12)</f>
        <v>40338.47</v>
      </c>
      <c r="L32" s="28">
        <f t="shared" si="1"/>
        <v>-1155.0499999999956</v>
      </c>
      <c r="M32" s="32">
        <f t="shared" si="12"/>
        <v>6200.550000000039</v>
      </c>
      <c r="N32" s="8">
        <v>26</v>
      </c>
      <c r="O32" s="8">
        <v>52</v>
      </c>
      <c r="P32" s="47"/>
      <c r="Q32" s="47"/>
      <c r="R32" s="342"/>
      <c r="S32" s="221"/>
      <c r="T32" s="228"/>
      <c r="U32" s="229">
        <f t="shared" si="13"/>
        <v>279.22499999999997</v>
      </c>
      <c r="V32" s="229">
        <f t="shared" si="13"/>
        <v>37.29375</v>
      </c>
      <c r="W32" s="229">
        <f t="shared" si="14"/>
        <v>95.03088</v>
      </c>
      <c r="X32" s="229">
        <f t="shared" si="14"/>
        <v>620.868416</v>
      </c>
      <c r="Y32" s="229">
        <f t="shared" si="14"/>
        <v>408.632784</v>
      </c>
      <c r="Z32" s="230">
        <f t="shared" si="4"/>
        <v>1441.0508300000001</v>
      </c>
      <c r="AA32" s="230">
        <f t="shared" si="5"/>
        <v>6335.392</v>
      </c>
      <c r="AB32" s="231">
        <f t="shared" si="6"/>
        <v>7776.44283</v>
      </c>
      <c r="AC32" s="232"/>
      <c r="AD32" s="245">
        <f t="shared" si="7"/>
        <v>3361.539166666667</v>
      </c>
      <c r="AE32" s="246">
        <f t="shared" si="8"/>
        <v>4414.903663333333</v>
      </c>
      <c r="AF32" s="232"/>
      <c r="AG32" s="251">
        <f t="shared" si="15"/>
        <v>313.65000000000003</v>
      </c>
      <c r="AH32" s="251">
        <f t="shared" si="15"/>
        <v>37.29375</v>
      </c>
      <c r="AI32" s="229">
        <f t="shared" si="16"/>
        <v>95.03088</v>
      </c>
      <c r="AJ32" s="229">
        <f t="shared" si="16"/>
        <v>620.868416</v>
      </c>
      <c r="AK32" s="229">
        <f t="shared" si="16"/>
        <v>89.3290272</v>
      </c>
      <c r="AL32" s="255">
        <f t="shared" si="11"/>
        <v>1156.1720731999999</v>
      </c>
    </row>
    <row r="33" spans="1:38" ht="11.25" customHeight="1">
      <c r="A33" s="8">
        <v>27</v>
      </c>
      <c r="B33" s="8">
        <v>53</v>
      </c>
      <c r="C33" s="8"/>
      <c r="D33" s="16">
        <v>8</v>
      </c>
      <c r="E33" s="17">
        <f>VLOOKUP(D33,'A13 - Tabelle'!$A$6:$F$13,6)</f>
        <v>60640.31999999999</v>
      </c>
      <c r="F33" s="17">
        <f>VLOOKUP(D33,'A13 - Tabelle'!$A$6:$G$13,7)</f>
        <v>44013.52</v>
      </c>
      <c r="G33" s="18">
        <f t="shared" si="0"/>
        <v>41493.52</v>
      </c>
      <c r="H33" s="19"/>
      <c r="I33" s="414">
        <v>7</v>
      </c>
      <c r="J33" s="17">
        <f>VLOOKUP(I33,'E13 - Tabelle'!$A$7:$L$18,11)</f>
        <v>76024.704</v>
      </c>
      <c r="K33" s="20">
        <f>VLOOKUP(I33,'E13 - Tabelle'!$A$7:$L$18,12)</f>
        <v>40338.47</v>
      </c>
      <c r="L33" s="28">
        <f t="shared" si="1"/>
        <v>-1155.0499999999956</v>
      </c>
      <c r="M33" s="32">
        <f t="shared" si="12"/>
        <v>5045.500000000044</v>
      </c>
      <c r="N33" s="8">
        <v>27</v>
      </c>
      <c r="O33" s="8">
        <v>53</v>
      </c>
      <c r="P33" s="47"/>
      <c r="Q33" s="47"/>
      <c r="R33" s="342"/>
      <c r="S33" s="221"/>
      <c r="T33" s="228"/>
      <c r="U33" s="229">
        <f t="shared" si="13"/>
        <v>279.22499999999997</v>
      </c>
      <c r="V33" s="229">
        <f t="shared" si="13"/>
        <v>37.29375</v>
      </c>
      <c r="W33" s="229">
        <f t="shared" si="14"/>
        <v>95.03088</v>
      </c>
      <c r="X33" s="229">
        <f t="shared" si="14"/>
        <v>620.868416</v>
      </c>
      <c r="Y33" s="229">
        <f t="shared" si="14"/>
        <v>408.632784</v>
      </c>
      <c r="Z33" s="230">
        <f t="shared" si="4"/>
        <v>1441.0508300000001</v>
      </c>
      <c r="AA33" s="230">
        <f t="shared" si="5"/>
        <v>6335.392</v>
      </c>
      <c r="AB33" s="231">
        <f t="shared" si="6"/>
        <v>7776.44283</v>
      </c>
      <c r="AC33" s="232"/>
      <c r="AD33" s="245">
        <f t="shared" si="7"/>
        <v>3361.539166666667</v>
      </c>
      <c r="AE33" s="246">
        <f t="shared" si="8"/>
        <v>4414.903663333333</v>
      </c>
      <c r="AF33" s="232"/>
      <c r="AG33" s="251">
        <f t="shared" si="15"/>
        <v>313.65000000000003</v>
      </c>
      <c r="AH33" s="251">
        <f t="shared" si="15"/>
        <v>37.29375</v>
      </c>
      <c r="AI33" s="229">
        <f t="shared" si="16"/>
        <v>95.03088</v>
      </c>
      <c r="AJ33" s="229">
        <f t="shared" si="16"/>
        <v>620.868416</v>
      </c>
      <c r="AK33" s="229">
        <f t="shared" si="16"/>
        <v>89.3290272</v>
      </c>
      <c r="AL33" s="255">
        <f t="shared" si="11"/>
        <v>1156.1720731999999</v>
      </c>
    </row>
    <row r="34" spans="1:38" ht="11.25" customHeight="1">
      <c r="A34" s="8">
        <v>28</v>
      </c>
      <c r="B34" s="8">
        <v>54</v>
      </c>
      <c r="C34" s="8"/>
      <c r="D34" s="16">
        <v>8</v>
      </c>
      <c r="E34" s="17">
        <f>VLOOKUP(D34,'A13 - Tabelle'!$A$6:$F$13,6)</f>
        <v>60640.31999999999</v>
      </c>
      <c r="F34" s="17">
        <f>VLOOKUP(D34,'A13 - Tabelle'!$A$6:$G$13,7)</f>
        <v>44013.52</v>
      </c>
      <c r="G34" s="18">
        <f t="shared" si="0"/>
        <v>41493.52</v>
      </c>
      <c r="H34" s="19"/>
      <c r="I34" s="414">
        <v>7</v>
      </c>
      <c r="J34" s="17">
        <f>VLOOKUP(I34,'E13 - Tabelle'!$A$7:$L$18,11)</f>
        <v>76024.704</v>
      </c>
      <c r="K34" s="20">
        <f>VLOOKUP(I34,'E13 - Tabelle'!$A$7:$L$18,12)</f>
        <v>40338.47</v>
      </c>
      <c r="L34" s="28">
        <f t="shared" si="1"/>
        <v>-1155.0499999999956</v>
      </c>
      <c r="M34" s="32">
        <f t="shared" si="12"/>
        <v>3890.450000000048</v>
      </c>
      <c r="N34" s="8">
        <v>28</v>
      </c>
      <c r="O34" s="8">
        <v>54</v>
      </c>
      <c r="P34" s="47"/>
      <c r="Q34" s="47"/>
      <c r="R34" s="342"/>
      <c r="S34" s="221"/>
      <c r="T34" s="228"/>
      <c r="U34" s="229">
        <f t="shared" si="13"/>
        <v>279.22499999999997</v>
      </c>
      <c r="V34" s="229">
        <f t="shared" si="13"/>
        <v>37.29375</v>
      </c>
      <c r="W34" s="229">
        <f t="shared" si="14"/>
        <v>95.03088</v>
      </c>
      <c r="X34" s="229">
        <f t="shared" si="14"/>
        <v>620.868416</v>
      </c>
      <c r="Y34" s="229">
        <f t="shared" si="14"/>
        <v>408.632784</v>
      </c>
      <c r="Z34" s="230">
        <f t="shared" si="4"/>
        <v>1441.0508300000001</v>
      </c>
      <c r="AA34" s="230">
        <f t="shared" si="5"/>
        <v>6335.392</v>
      </c>
      <c r="AB34" s="231">
        <f t="shared" si="6"/>
        <v>7776.44283</v>
      </c>
      <c r="AC34" s="232"/>
      <c r="AD34" s="245">
        <f t="shared" si="7"/>
        <v>3361.539166666667</v>
      </c>
      <c r="AE34" s="246">
        <f t="shared" si="8"/>
        <v>4414.903663333333</v>
      </c>
      <c r="AF34" s="232"/>
      <c r="AG34" s="251">
        <f t="shared" si="15"/>
        <v>313.65000000000003</v>
      </c>
      <c r="AH34" s="251">
        <f t="shared" si="15"/>
        <v>37.29375</v>
      </c>
      <c r="AI34" s="229">
        <f t="shared" si="16"/>
        <v>95.03088</v>
      </c>
      <c r="AJ34" s="229">
        <f t="shared" si="16"/>
        <v>620.868416</v>
      </c>
      <c r="AK34" s="229">
        <f t="shared" si="16"/>
        <v>89.3290272</v>
      </c>
      <c r="AL34" s="255">
        <f t="shared" si="11"/>
        <v>1156.1720731999999</v>
      </c>
    </row>
    <row r="35" spans="1:38" ht="11.25" customHeight="1">
      <c r="A35" s="8">
        <v>29</v>
      </c>
      <c r="B35" s="8">
        <v>55</v>
      </c>
      <c r="C35" s="8"/>
      <c r="D35" s="16">
        <v>8</v>
      </c>
      <c r="E35" s="17">
        <f>VLOOKUP(D35,'A13 - Tabelle'!$A$6:$F$13,6)</f>
        <v>60640.31999999999</v>
      </c>
      <c r="F35" s="17">
        <f>VLOOKUP(D35,'A13 - Tabelle'!$A$6:$G$13,7)</f>
        <v>44013.52</v>
      </c>
      <c r="G35" s="18">
        <f t="shared" si="0"/>
        <v>41493.52</v>
      </c>
      <c r="H35" s="19"/>
      <c r="I35" s="414">
        <v>7</v>
      </c>
      <c r="J35" s="17">
        <f>VLOOKUP(I35,'E13 - Tabelle'!$A$7:$L$18,11)</f>
        <v>76024.704</v>
      </c>
      <c r="K35" s="20">
        <f>VLOOKUP(I35,'E13 - Tabelle'!$A$7:$L$18,12)</f>
        <v>40338.47</v>
      </c>
      <c r="L35" s="28">
        <f t="shared" si="1"/>
        <v>-1155.0499999999956</v>
      </c>
      <c r="M35" s="32">
        <f t="shared" si="12"/>
        <v>2735.4000000000524</v>
      </c>
      <c r="N35" s="8">
        <v>29</v>
      </c>
      <c r="O35" s="8">
        <v>55</v>
      </c>
      <c r="P35" s="47"/>
      <c r="Q35" s="47"/>
      <c r="R35" s="342"/>
      <c r="S35" s="221"/>
      <c r="T35" s="228"/>
      <c r="U35" s="229">
        <f t="shared" si="13"/>
        <v>279.22499999999997</v>
      </c>
      <c r="V35" s="229">
        <f t="shared" si="13"/>
        <v>37.29375</v>
      </c>
      <c r="W35" s="229">
        <f t="shared" si="14"/>
        <v>95.03088</v>
      </c>
      <c r="X35" s="229">
        <f t="shared" si="14"/>
        <v>620.868416</v>
      </c>
      <c r="Y35" s="229">
        <f t="shared" si="14"/>
        <v>408.632784</v>
      </c>
      <c r="Z35" s="230">
        <f t="shared" si="4"/>
        <v>1441.0508300000001</v>
      </c>
      <c r="AA35" s="230">
        <f t="shared" si="5"/>
        <v>6335.392</v>
      </c>
      <c r="AB35" s="231">
        <f t="shared" si="6"/>
        <v>7776.44283</v>
      </c>
      <c r="AC35" s="232"/>
      <c r="AD35" s="245">
        <f t="shared" si="7"/>
        <v>3361.539166666667</v>
      </c>
      <c r="AE35" s="246">
        <f t="shared" si="8"/>
        <v>4414.903663333333</v>
      </c>
      <c r="AF35" s="232"/>
      <c r="AG35" s="251">
        <f t="shared" si="15"/>
        <v>313.65000000000003</v>
      </c>
      <c r="AH35" s="251">
        <f t="shared" si="15"/>
        <v>37.29375</v>
      </c>
      <c r="AI35" s="229">
        <f t="shared" si="16"/>
        <v>95.03088</v>
      </c>
      <c r="AJ35" s="229">
        <f t="shared" si="16"/>
        <v>620.868416</v>
      </c>
      <c r="AK35" s="229">
        <f t="shared" si="16"/>
        <v>89.3290272</v>
      </c>
      <c r="AL35" s="255">
        <f t="shared" si="11"/>
        <v>1156.1720731999999</v>
      </c>
    </row>
    <row r="36" spans="1:38" ht="11.25" customHeight="1">
      <c r="A36" s="8">
        <v>30</v>
      </c>
      <c r="B36" s="8">
        <v>56</v>
      </c>
      <c r="C36" s="8"/>
      <c r="D36" s="16">
        <v>8</v>
      </c>
      <c r="E36" s="17">
        <f>VLOOKUP(D36,'A13 - Tabelle'!$A$6:$F$13,6)</f>
        <v>60640.31999999999</v>
      </c>
      <c r="F36" s="17">
        <f>VLOOKUP(D36,'A13 - Tabelle'!$A$6:$G$13,7)</f>
        <v>44013.52</v>
      </c>
      <c r="G36" s="18">
        <f t="shared" si="0"/>
        <v>41493.52</v>
      </c>
      <c r="H36" s="19"/>
      <c r="I36" s="414">
        <v>7</v>
      </c>
      <c r="J36" s="17">
        <f>VLOOKUP(I36,'E13 - Tabelle'!$A$7:$L$18,11)</f>
        <v>76024.704</v>
      </c>
      <c r="K36" s="20">
        <f>VLOOKUP(I36,'E13 - Tabelle'!$A$7:$L$18,12)</f>
        <v>40338.47</v>
      </c>
      <c r="L36" s="28">
        <f t="shared" si="1"/>
        <v>-1155.0499999999956</v>
      </c>
      <c r="M36" s="32">
        <f t="shared" si="12"/>
        <v>1580.3500000000568</v>
      </c>
      <c r="N36" s="8">
        <v>30</v>
      </c>
      <c r="O36" s="8">
        <v>56</v>
      </c>
      <c r="P36" s="47"/>
      <c r="Q36" s="47"/>
      <c r="R36" s="342"/>
      <c r="S36" s="221"/>
      <c r="T36" s="228"/>
      <c r="U36" s="229">
        <f t="shared" si="13"/>
        <v>279.22499999999997</v>
      </c>
      <c r="V36" s="229">
        <f t="shared" si="13"/>
        <v>37.29375</v>
      </c>
      <c r="W36" s="229">
        <f t="shared" si="14"/>
        <v>95.03088</v>
      </c>
      <c r="X36" s="229">
        <f t="shared" si="14"/>
        <v>620.868416</v>
      </c>
      <c r="Y36" s="229">
        <f t="shared" si="14"/>
        <v>408.632784</v>
      </c>
      <c r="Z36" s="230">
        <f t="shared" si="4"/>
        <v>1441.0508300000001</v>
      </c>
      <c r="AA36" s="230">
        <f t="shared" si="5"/>
        <v>6335.392</v>
      </c>
      <c r="AB36" s="231">
        <f t="shared" si="6"/>
        <v>7776.44283</v>
      </c>
      <c r="AC36" s="232"/>
      <c r="AD36" s="245">
        <f t="shared" si="7"/>
        <v>3361.539166666667</v>
      </c>
      <c r="AE36" s="246">
        <f t="shared" si="8"/>
        <v>4414.903663333333</v>
      </c>
      <c r="AF36" s="232"/>
      <c r="AG36" s="251">
        <f t="shared" si="15"/>
        <v>313.65000000000003</v>
      </c>
      <c r="AH36" s="251">
        <f t="shared" si="15"/>
        <v>37.29375</v>
      </c>
      <c r="AI36" s="229">
        <f t="shared" si="16"/>
        <v>95.03088</v>
      </c>
      <c r="AJ36" s="229">
        <f t="shared" si="16"/>
        <v>620.868416</v>
      </c>
      <c r="AK36" s="229">
        <f t="shared" si="16"/>
        <v>89.3290272</v>
      </c>
      <c r="AL36" s="255">
        <f t="shared" si="11"/>
        <v>1156.1720731999999</v>
      </c>
    </row>
    <row r="37" spans="1:38" ht="11.25" customHeight="1">
      <c r="A37" s="8">
        <v>31</v>
      </c>
      <c r="B37" s="8">
        <v>57</v>
      </c>
      <c r="C37" s="8"/>
      <c r="D37" s="16">
        <v>8</v>
      </c>
      <c r="E37" s="17">
        <f>VLOOKUP(D37,'A13 - Tabelle'!$A$6:$F$13,6)</f>
        <v>60640.31999999999</v>
      </c>
      <c r="F37" s="17">
        <f>VLOOKUP(D37,'A13 - Tabelle'!$A$6:$G$13,7)</f>
        <v>44013.52</v>
      </c>
      <c r="G37" s="18">
        <f t="shared" si="0"/>
        <v>41493.52</v>
      </c>
      <c r="H37" s="19"/>
      <c r="I37" s="414">
        <v>7</v>
      </c>
      <c r="J37" s="17">
        <f>VLOOKUP(I37,'E13 - Tabelle'!$A$7:$L$18,11)</f>
        <v>76024.704</v>
      </c>
      <c r="K37" s="20">
        <f>VLOOKUP(I37,'E13 - Tabelle'!$A$7:$L$18,12)</f>
        <v>40338.47</v>
      </c>
      <c r="L37" s="28">
        <f t="shared" si="1"/>
        <v>-1155.0499999999956</v>
      </c>
      <c r="M37" s="32">
        <f t="shared" si="12"/>
        <v>425.3000000000611</v>
      </c>
      <c r="N37" s="8">
        <v>31</v>
      </c>
      <c r="O37" s="8">
        <v>57</v>
      </c>
      <c r="P37" s="47"/>
      <c r="Q37" s="47"/>
      <c r="R37" s="342"/>
      <c r="S37" s="221"/>
      <c r="T37" s="228"/>
      <c r="U37" s="229">
        <f t="shared" si="13"/>
        <v>279.22499999999997</v>
      </c>
      <c r="V37" s="229">
        <f t="shared" si="13"/>
        <v>37.29375</v>
      </c>
      <c r="W37" s="229">
        <f t="shared" si="14"/>
        <v>95.03088</v>
      </c>
      <c r="X37" s="229">
        <f t="shared" si="14"/>
        <v>620.868416</v>
      </c>
      <c r="Y37" s="229">
        <f t="shared" si="14"/>
        <v>408.632784</v>
      </c>
      <c r="Z37" s="230">
        <f t="shared" si="4"/>
        <v>1441.0508300000001</v>
      </c>
      <c r="AA37" s="230">
        <f t="shared" si="5"/>
        <v>6335.392</v>
      </c>
      <c r="AB37" s="231">
        <f t="shared" si="6"/>
        <v>7776.44283</v>
      </c>
      <c r="AC37" s="232"/>
      <c r="AD37" s="245">
        <f t="shared" si="7"/>
        <v>3361.539166666667</v>
      </c>
      <c r="AE37" s="246">
        <f t="shared" si="8"/>
        <v>4414.903663333333</v>
      </c>
      <c r="AF37" s="232"/>
      <c r="AG37" s="251">
        <f t="shared" si="15"/>
        <v>313.65000000000003</v>
      </c>
      <c r="AH37" s="251">
        <f t="shared" si="15"/>
        <v>37.29375</v>
      </c>
      <c r="AI37" s="229">
        <f t="shared" si="16"/>
        <v>95.03088</v>
      </c>
      <c r="AJ37" s="229">
        <f t="shared" si="16"/>
        <v>620.868416</v>
      </c>
      <c r="AK37" s="229">
        <f t="shared" si="16"/>
        <v>89.3290272</v>
      </c>
      <c r="AL37" s="255">
        <f t="shared" si="11"/>
        <v>1156.1720731999999</v>
      </c>
    </row>
    <row r="38" spans="1:38" ht="11.25" customHeight="1">
      <c r="A38" s="8">
        <v>32</v>
      </c>
      <c r="B38" s="8">
        <v>58</v>
      </c>
      <c r="C38" s="8"/>
      <c r="D38" s="16">
        <v>8</v>
      </c>
      <c r="E38" s="17">
        <f>VLOOKUP(D38,'A13 - Tabelle'!$A$6:$F$13,6)</f>
        <v>60640.31999999999</v>
      </c>
      <c r="F38" s="17">
        <f>VLOOKUP(D38,'A13 - Tabelle'!$A$6:$G$13,7)</f>
        <v>44013.52</v>
      </c>
      <c r="G38" s="18">
        <f t="shared" si="0"/>
        <v>41493.52</v>
      </c>
      <c r="H38" s="19"/>
      <c r="I38" s="414">
        <v>7</v>
      </c>
      <c r="J38" s="17">
        <f>VLOOKUP(I38,'E13 - Tabelle'!$A$7:$L$18,11)</f>
        <v>76024.704</v>
      </c>
      <c r="K38" s="20">
        <f>VLOOKUP(I38,'E13 - Tabelle'!$A$7:$L$18,12)</f>
        <v>40338.47</v>
      </c>
      <c r="L38" s="28">
        <f t="shared" si="1"/>
        <v>-1155.0499999999956</v>
      </c>
      <c r="M38" s="32">
        <f t="shared" si="12"/>
        <v>-729.7499999999345</v>
      </c>
      <c r="N38" s="8">
        <v>32</v>
      </c>
      <c r="O38" s="8">
        <v>58</v>
      </c>
      <c r="P38" s="47"/>
      <c r="Q38" s="47"/>
      <c r="R38" s="342"/>
      <c r="S38" s="221"/>
      <c r="T38" s="228"/>
      <c r="U38" s="229">
        <f t="shared" si="13"/>
        <v>279.22499999999997</v>
      </c>
      <c r="V38" s="229">
        <f t="shared" si="13"/>
        <v>37.29375</v>
      </c>
      <c r="W38" s="229">
        <f t="shared" si="14"/>
        <v>95.03088</v>
      </c>
      <c r="X38" s="229">
        <f t="shared" si="14"/>
        <v>620.868416</v>
      </c>
      <c r="Y38" s="229">
        <f t="shared" si="14"/>
        <v>408.632784</v>
      </c>
      <c r="Z38" s="230">
        <f t="shared" si="4"/>
        <v>1441.0508300000001</v>
      </c>
      <c r="AA38" s="230">
        <f t="shared" si="5"/>
        <v>6335.392</v>
      </c>
      <c r="AB38" s="231">
        <f t="shared" si="6"/>
        <v>7776.44283</v>
      </c>
      <c r="AC38" s="232"/>
      <c r="AD38" s="245">
        <f t="shared" si="7"/>
        <v>3361.539166666667</v>
      </c>
      <c r="AE38" s="246">
        <f t="shared" si="8"/>
        <v>4414.903663333333</v>
      </c>
      <c r="AF38" s="232"/>
      <c r="AG38" s="251">
        <f t="shared" si="15"/>
        <v>313.65000000000003</v>
      </c>
      <c r="AH38" s="251">
        <f t="shared" si="15"/>
        <v>37.29375</v>
      </c>
      <c r="AI38" s="229">
        <f t="shared" si="16"/>
        <v>95.03088</v>
      </c>
      <c r="AJ38" s="229">
        <f t="shared" si="16"/>
        <v>620.868416</v>
      </c>
      <c r="AK38" s="229">
        <f t="shared" si="16"/>
        <v>89.3290272</v>
      </c>
      <c r="AL38" s="255">
        <f t="shared" si="11"/>
        <v>1156.1720731999999</v>
      </c>
    </row>
    <row r="39" spans="1:38" ht="11.25" customHeight="1">
      <c r="A39" s="8">
        <v>33</v>
      </c>
      <c r="B39" s="8">
        <v>59</v>
      </c>
      <c r="C39" s="8"/>
      <c r="D39" s="16">
        <v>8</v>
      </c>
      <c r="E39" s="17">
        <f>VLOOKUP(D39,'A13 - Tabelle'!$A$6:$F$13,6)</f>
        <v>60640.31999999999</v>
      </c>
      <c r="F39" s="17">
        <f>VLOOKUP(D39,'A13 - Tabelle'!$A$6:$G$13,7)</f>
        <v>44013.52</v>
      </c>
      <c r="G39" s="18">
        <f t="shared" si="0"/>
        <v>41493.52</v>
      </c>
      <c r="H39" s="19"/>
      <c r="I39" s="414">
        <v>7</v>
      </c>
      <c r="J39" s="17">
        <f>VLOOKUP(I39,'E13 - Tabelle'!$A$7:$L$18,11)</f>
        <v>76024.704</v>
      </c>
      <c r="K39" s="20">
        <f>VLOOKUP(I39,'E13 - Tabelle'!$A$7:$L$18,12)</f>
        <v>40338.47</v>
      </c>
      <c r="L39" s="28">
        <f t="shared" si="1"/>
        <v>-1155.0499999999956</v>
      </c>
      <c r="M39" s="32">
        <f t="shared" si="12"/>
        <v>-1884.7999999999302</v>
      </c>
      <c r="N39" s="8">
        <v>33</v>
      </c>
      <c r="O39" s="8">
        <v>59</v>
      </c>
      <c r="P39" s="47"/>
      <c r="Q39" s="47"/>
      <c r="R39" s="342"/>
      <c r="S39" s="221"/>
      <c r="T39" s="228"/>
      <c r="U39" s="229">
        <f t="shared" si="13"/>
        <v>279.22499999999997</v>
      </c>
      <c r="V39" s="229">
        <f t="shared" si="13"/>
        <v>37.29375</v>
      </c>
      <c r="W39" s="229">
        <f t="shared" si="14"/>
        <v>95.03088</v>
      </c>
      <c r="X39" s="229">
        <f t="shared" si="14"/>
        <v>620.868416</v>
      </c>
      <c r="Y39" s="229">
        <f t="shared" si="14"/>
        <v>408.632784</v>
      </c>
      <c r="Z39" s="230">
        <f t="shared" si="4"/>
        <v>1441.0508300000001</v>
      </c>
      <c r="AA39" s="230">
        <f t="shared" si="5"/>
        <v>6335.392</v>
      </c>
      <c r="AB39" s="231">
        <f t="shared" si="6"/>
        <v>7776.44283</v>
      </c>
      <c r="AC39" s="232"/>
      <c r="AD39" s="245">
        <f t="shared" si="7"/>
        <v>3361.539166666667</v>
      </c>
      <c r="AE39" s="246">
        <f t="shared" si="8"/>
        <v>4414.903663333333</v>
      </c>
      <c r="AF39" s="232"/>
      <c r="AG39" s="251">
        <f t="shared" si="15"/>
        <v>313.65000000000003</v>
      </c>
      <c r="AH39" s="251">
        <f t="shared" si="15"/>
        <v>37.29375</v>
      </c>
      <c r="AI39" s="229">
        <f t="shared" si="16"/>
        <v>95.03088</v>
      </c>
      <c r="AJ39" s="229">
        <f t="shared" si="16"/>
        <v>620.868416</v>
      </c>
      <c r="AK39" s="229">
        <f t="shared" si="16"/>
        <v>89.3290272</v>
      </c>
      <c r="AL39" s="255">
        <f t="shared" si="11"/>
        <v>1156.1720731999999</v>
      </c>
    </row>
    <row r="40" spans="1:38" ht="11.25" customHeight="1">
      <c r="A40" s="8">
        <v>34</v>
      </c>
      <c r="B40" s="8">
        <v>60</v>
      </c>
      <c r="C40" s="8"/>
      <c r="D40" s="16">
        <v>8</v>
      </c>
      <c r="E40" s="17">
        <f>VLOOKUP(D40,'A13 - Tabelle'!$A$6:$F$13,6)</f>
        <v>60640.31999999999</v>
      </c>
      <c r="F40" s="17">
        <f>VLOOKUP(D40,'A13 - Tabelle'!$A$6:$G$13,7)</f>
        <v>44013.52</v>
      </c>
      <c r="G40" s="18">
        <f t="shared" si="0"/>
        <v>41493.52</v>
      </c>
      <c r="H40" s="19"/>
      <c r="I40" s="414">
        <v>7</v>
      </c>
      <c r="J40" s="17">
        <f>VLOOKUP(I40,'E13 - Tabelle'!$A$7:$L$18,11)</f>
        <v>76024.704</v>
      </c>
      <c r="K40" s="20">
        <f>VLOOKUP(I40,'E13 - Tabelle'!$A$7:$L$18,12)</f>
        <v>40338.47</v>
      </c>
      <c r="L40" s="28">
        <f t="shared" si="1"/>
        <v>-1155.0499999999956</v>
      </c>
      <c r="M40" s="159">
        <f t="shared" si="12"/>
        <v>-3039.849999999926</v>
      </c>
      <c r="N40" s="8">
        <v>34</v>
      </c>
      <c r="O40" s="8">
        <v>60</v>
      </c>
      <c r="P40" s="47"/>
      <c r="Q40" s="47"/>
      <c r="R40" s="342"/>
      <c r="S40" s="221"/>
      <c r="T40" s="228"/>
      <c r="U40" s="229">
        <f t="shared" si="13"/>
        <v>279.22499999999997</v>
      </c>
      <c r="V40" s="229">
        <f t="shared" si="13"/>
        <v>37.29375</v>
      </c>
      <c r="W40" s="229">
        <f t="shared" si="14"/>
        <v>95.03088</v>
      </c>
      <c r="X40" s="229">
        <f t="shared" si="14"/>
        <v>620.868416</v>
      </c>
      <c r="Y40" s="229">
        <f t="shared" si="14"/>
        <v>408.632784</v>
      </c>
      <c r="Z40" s="230">
        <f t="shared" si="4"/>
        <v>1441.0508300000001</v>
      </c>
      <c r="AA40" s="230">
        <f t="shared" si="5"/>
        <v>6335.392</v>
      </c>
      <c r="AB40" s="231">
        <f t="shared" si="6"/>
        <v>7776.44283</v>
      </c>
      <c r="AC40" s="232"/>
      <c r="AD40" s="245">
        <f t="shared" si="7"/>
        <v>3361.539166666667</v>
      </c>
      <c r="AE40" s="246">
        <f t="shared" si="8"/>
        <v>4414.903663333333</v>
      </c>
      <c r="AF40" s="232"/>
      <c r="AG40" s="251">
        <f t="shared" si="15"/>
        <v>313.65000000000003</v>
      </c>
      <c r="AH40" s="251">
        <f t="shared" si="15"/>
        <v>37.29375</v>
      </c>
      <c r="AI40" s="229">
        <f t="shared" si="16"/>
        <v>95.03088</v>
      </c>
      <c r="AJ40" s="229">
        <f t="shared" si="16"/>
        <v>620.868416</v>
      </c>
      <c r="AK40" s="229">
        <f t="shared" si="16"/>
        <v>89.3290272</v>
      </c>
      <c r="AL40" s="255">
        <f t="shared" si="11"/>
        <v>1156.1720731999999</v>
      </c>
    </row>
    <row r="41" spans="1:38" ht="11.25" customHeight="1">
      <c r="A41" s="8">
        <v>35</v>
      </c>
      <c r="B41" s="8">
        <v>61</v>
      </c>
      <c r="C41" s="8"/>
      <c r="D41" s="16">
        <v>8</v>
      </c>
      <c r="E41" s="17">
        <f>VLOOKUP(D41,'A13 - Tabelle'!$A$6:$F$13,6)</f>
        <v>60640.31999999999</v>
      </c>
      <c r="F41" s="17">
        <f>VLOOKUP(D41,'A13 - Tabelle'!$A$6:$G$13,7)</f>
        <v>44013.52</v>
      </c>
      <c r="G41" s="18">
        <f t="shared" si="0"/>
        <v>41493.52</v>
      </c>
      <c r="H41" s="19"/>
      <c r="I41" s="414">
        <v>7</v>
      </c>
      <c r="J41" s="17">
        <f>VLOOKUP(I41,'E13 - Tabelle'!$A$7:$L$18,11)</f>
        <v>76024.704</v>
      </c>
      <c r="K41" s="20">
        <f>VLOOKUP(I41,'E13 - Tabelle'!$A$7:$L$18,12)</f>
        <v>40338.47</v>
      </c>
      <c r="L41" s="28">
        <f t="shared" si="1"/>
        <v>-1155.0499999999956</v>
      </c>
      <c r="M41" s="159">
        <f t="shared" si="12"/>
        <v>-4194.899999999921</v>
      </c>
      <c r="N41" s="8">
        <v>35</v>
      </c>
      <c r="O41" s="8">
        <v>61</v>
      </c>
      <c r="P41" s="47"/>
      <c r="Q41" s="47"/>
      <c r="R41" s="342"/>
      <c r="S41" s="221"/>
      <c r="T41" s="228"/>
      <c r="U41" s="229">
        <f t="shared" si="13"/>
        <v>279.22499999999997</v>
      </c>
      <c r="V41" s="229">
        <f t="shared" si="13"/>
        <v>37.29375</v>
      </c>
      <c r="W41" s="229">
        <f t="shared" si="14"/>
        <v>95.03088</v>
      </c>
      <c r="X41" s="229">
        <f t="shared" si="14"/>
        <v>620.868416</v>
      </c>
      <c r="Y41" s="229">
        <f t="shared" si="14"/>
        <v>408.632784</v>
      </c>
      <c r="Z41" s="230">
        <f t="shared" si="4"/>
        <v>1441.0508300000001</v>
      </c>
      <c r="AA41" s="230">
        <f t="shared" si="5"/>
        <v>6335.392</v>
      </c>
      <c r="AB41" s="231">
        <f t="shared" si="6"/>
        <v>7776.44283</v>
      </c>
      <c r="AC41" s="232"/>
      <c r="AD41" s="245">
        <f t="shared" si="7"/>
        <v>3361.539166666667</v>
      </c>
      <c r="AE41" s="246">
        <f t="shared" si="8"/>
        <v>4414.903663333333</v>
      </c>
      <c r="AF41" s="232"/>
      <c r="AG41" s="251">
        <f t="shared" si="15"/>
        <v>313.65000000000003</v>
      </c>
      <c r="AH41" s="251">
        <f t="shared" si="15"/>
        <v>37.29375</v>
      </c>
      <c r="AI41" s="229">
        <f t="shared" si="16"/>
        <v>95.03088</v>
      </c>
      <c r="AJ41" s="229">
        <f t="shared" si="16"/>
        <v>620.868416</v>
      </c>
      <c r="AK41" s="229">
        <f t="shared" si="16"/>
        <v>89.3290272</v>
      </c>
      <c r="AL41" s="255">
        <f t="shared" si="11"/>
        <v>1156.1720731999999</v>
      </c>
    </row>
    <row r="42" spans="1:38" ht="11.25" customHeight="1">
      <c r="A42" s="8">
        <v>36</v>
      </c>
      <c r="B42" s="8">
        <v>62</v>
      </c>
      <c r="C42" s="8"/>
      <c r="D42" s="16">
        <v>8</v>
      </c>
      <c r="E42" s="17">
        <f>VLOOKUP(D42,'A13 - Tabelle'!$A$6:$F$13,6)</f>
        <v>60640.31999999999</v>
      </c>
      <c r="F42" s="17">
        <f>VLOOKUP(D42,'A13 - Tabelle'!$A$6:$G$13,7)</f>
        <v>44013.52</v>
      </c>
      <c r="G42" s="18">
        <f t="shared" si="0"/>
        <v>41493.52</v>
      </c>
      <c r="H42" s="19"/>
      <c r="I42" s="414">
        <v>7</v>
      </c>
      <c r="J42" s="17">
        <f>VLOOKUP(I42,'E13 - Tabelle'!$A$7:$L$18,11)</f>
        <v>76024.704</v>
      </c>
      <c r="K42" s="20">
        <f>VLOOKUP(I42,'E13 - Tabelle'!$A$7:$L$18,12)</f>
        <v>40338.47</v>
      </c>
      <c r="L42" s="28">
        <f t="shared" si="1"/>
        <v>-1155.0499999999956</v>
      </c>
      <c r="M42" s="32">
        <f t="shared" si="12"/>
        <v>-5349.949999999917</v>
      </c>
      <c r="N42" s="8">
        <v>36</v>
      </c>
      <c r="O42" s="8">
        <v>62</v>
      </c>
      <c r="P42" s="47"/>
      <c r="Q42" s="47"/>
      <c r="R42" s="342"/>
      <c r="S42" s="221"/>
      <c r="T42" s="228"/>
      <c r="U42" s="229">
        <f t="shared" si="13"/>
        <v>279.22499999999997</v>
      </c>
      <c r="V42" s="229">
        <f t="shared" si="13"/>
        <v>37.29375</v>
      </c>
      <c r="W42" s="229">
        <f t="shared" si="14"/>
        <v>95.03088</v>
      </c>
      <c r="X42" s="229">
        <f t="shared" si="14"/>
        <v>620.868416</v>
      </c>
      <c r="Y42" s="229">
        <f t="shared" si="14"/>
        <v>408.632784</v>
      </c>
      <c r="Z42" s="230">
        <f t="shared" si="4"/>
        <v>1441.0508300000001</v>
      </c>
      <c r="AA42" s="230">
        <f t="shared" si="5"/>
        <v>6335.392</v>
      </c>
      <c r="AB42" s="231">
        <f t="shared" si="6"/>
        <v>7776.44283</v>
      </c>
      <c r="AC42" s="232"/>
      <c r="AD42" s="245">
        <f t="shared" si="7"/>
        <v>3361.539166666667</v>
      </c>
      <c r="AE42" s="246">
        <f t="shared" si="8"/>
        <v>4414.903663333333</v>
      </c>
      <c r="AF42" s="232"/>
      <c r="AG42" s="251">
        <f t="shared" si="15"/>
        <v>313.65000000000003</v>
      </c>
      <c r="AH42" s="251">
        <f t="shared" si="15"/>
        <v>37.29375</v>
      </c>
      <c r="AI42" s="229">
        <f t="shared" si="16"/>
        <v>95.03088</v>
      </c>
      <c r="AJ42" s="229">
        <f t="shared" si="16"/>
        <v>620.868416</v>
      </c>
      <c r="AK42" s="229">
        <f t="shared" si="16"/>
        <v>89.3290272</v>
      </c>
      <c r="AL42" s="255">
        <f t="shared" si="11"/>
        <v>1156.1720731999999</v>
      </c>
    </row>
    <row r="43" spans="1:38" ht="11.25" customHeight="1">
      <c r="A43" s="8">
        <v>37</v>
      </c>
      <c r="B43" s="8">
        <v>63</v>
      </c>
      <c r="C43" s="8"/>
      <c r="D43" s="16">
        <v>8</v>
      </c>
      <c r="E43" s="17">
        <f>VLOOKUP(D43,'A13 - Tabelle'!$A$6:$F$13,6)</f>
        <v>60640.31999999999</v>
      </c>
      <c r="F43" s="17">
        <f>VLOOKUP(D43,'A13 - Tabelle'!$A$6:$G$13,7)</f>
        <v>44013.52</v>
      </c>
      <c r="G43" s="18">
        <f t="shared" si="0"/>
        <v>41493.52</v>
      </c>
      <c r="H43" s="19"/>
      <c r="I43" s="414">
        <v>7</v>
      </c>
      <c r="J43" s="17">
        <f>VLOOKUP(I43,'E13 - Tabelle'!$A$7:$L$18,11)</f>
        <v>76024.704</v>
      </c>
      <c r="K43" s="20">
        <f>VLOOKUP(I43,'E13 - Tabelle'!$A$7:$L$18,12)</f>
        <v>40338.47</v>
      </c>
      <c r="L43" s="28">
        <f t="shared" si="1"/>
        <v>-1155.0499999999956</v>
      </c>
      <c r="M43" s="32">
        <f t="shared" si="12"/>
        <v>-6504.999999999913</v>
      </c>
      <c r="N43" s="8">
        <v>37</v>
      </c>
      <c r="O43" s="8">
        <v>63</v>
      </c>
      <c r="P43" s="47"/>
      <c r="Q43" s="47"/>
      <c r="R43" s="342"/>
      <c r="S43" s="221"/>
      <c r="T43" s="228"/>
      <c r="U43" s="229">
        <f t="shared" si="13"/>
        <v>279.22499999999997</v>
      </c>
      <c r="V43" s="229">
        <f t="shared" si="13"/>
        <v>37.29375</v>
      </c>
      <c r="W43" s="229">
        <f t="shared" si="14"/>
        <v>95.03088</v>
      </c>
      <c r="X43" s="229">
        <f t="shared" si="14"/>
        <v>620.868416</v>
      </c>
      <c r="Y43" s="229">
        <f t="shared" si="14"/>
        <v>408.632784</v>
      </c>
      <c r="Z43" s="230">
        <f t="shared" si="4"/>
        <v>1441.0508300000001</v>
      </c>
      <c r="AA43" s="230">
        <f t="shared" si="5"/>
        <v>6335.392</v>
      </c>
      <c r="AB43" s="231">
        <f t="shared" si="6"/>
        <v>7776.44283</v>
      </c>
      <c r="AC43" s="232"/>
      <c r="AD43" s="245">
        <f t="shared" si="7"/>
        <v>3361.539166666667</v>
      </c>
      <c r="AE43" s="246">
        <f t="shared" si="8"/>
        <v>4414.903663333333</v>
      </c>
      <c r="AF43" s="232"/>
      <c r="AG43" s="251">
        <f t="shared" si="15"/>
        <v>313.65000000000003</v>
      </c>
      <c r="AH43" s="251">
        <f t="shared" si="15"/>
        <v>37.29375</v>
      </c>
      <c r="AI43" s="229">
        <f t="shared" si="16"/>
        <v>95.03088</v>
      </c>
      <c r="AJ43" s="229">
        <f t="shared" si="16"/>
        <v>620.868416</v>
      </c>
      <c r="AK43" s="229">
        <f t="shared" si="16"/>
        <v>89.3290272</v>
      </c>
      <c r="AL43" s="255">
        <f t="shared" si="11"/>
        <v>1156.1720731999999</v>
      </c>
    </row>
    <row r="44" spans="1:38" ht="11.25" customHeight="1">
      <c r="A44" s="8">
        <v>38</v>
      </c>
      <c r="B44" s="8">
        <v>64</v>
      </c>
      <c r="C44" s="8"/>
      <c r="D44" s="16">
        <v>8</v>
      </c>
      <c r="E44" s="17">
        <f>VLOOKUP(D44,'A13 - Tabelle'!$A$6:$F$13,6)</f>
        <v>60640.31999999999</v>
      </c>
      <c r="F44" s="17">
        <f>VLOOKUP(D44,'A13 - Tabelle'!$A$6:$G$13,7)</f>
        <v>44013.52</v>
      </c>
      <c r="G44" s="18">
        <f t="shared" si="0"/>
        <v>41493.52</v>
      </c>
      <c r="H44" s="19"/>
      <c r="I44" s="414">
        <v>7</v>
      </c>
      <c r="J44" s="17">
        <f>VLOOKUP(I44,'E13 - Tabelle'!$A$7:$L$18,11)</f>
        <v>76024.704</v>
      </c>
      <c r="K44" s="20">
        <f>VLOOKUP(I44,'E13 - Tabelle'!$A$7:$L$18,12)</f>
        <v>40338.47</v>
      </c>
      <c r="L44" s="28">
        <f t="shared" si="1"/>
        <v>-1155.0499999999956</v>
      </c>
      <c r="M44" s="32">
        <f t="shared" si="12"/>
        <v>-7660.049999999908</v>
      </c>
      <c r="N44" s="8">
        <v>38</v>
      </c>
      <c r="O44" s="8">
        <v>64</v>
      </c>
      <c r="P44" s="47"/>
      <c r="Q44" s="47"/>
      <c r="R44" s="342"/>
      <c r="S44" s="221"/>
      <c r="T44" s="228"/>
      <c r="U44" s="229">
        <f t="shared" si="13"/>
        <v>279.22499999999997</v>
      </c>
      <c r="V44" s="229">
        <f t="shared" si="13"/>
        <v>37.29375</v>
      </c>
      <c r="W44" s="229">
        <f t="shared" si="14"/>
        <v>95.03088</v>
      </c>
      <c r="X44" s="229">
        <f t="shared" si="14"/>
        <v>620.868416</v>
      </c>
      <c r="Y44" s="229">
        <f t="shared" si="14"/>
        <v>408.632784</v>
      </c>
      <c r="Z44" s="230">
        <f t="shared" si="4"/>
        <v>1441.0508300000001</v>
      </c>
      <c r="AA44" s="230">
        <f t="shared" si="5"/>
        <v>6335.392</v>
      </c>
      <c r="AB44" s="231">
        <f t="shared" si="6"/>
        <v>7776.44283</v>
      </c>
      <c r="AC44" s="232"/>
      <c r="AD44" s="245">
        <f t="shared" si="7"/>
        <v>3361.539166666667</v>
      </c>
      <c r="AE44" s="246">
        <f t="shared" si="8"/>
        <v>4414.903663333333</v>
      </c>
      <c r="AF44" s="232"/>
      <c r="AG44" s="251">
        <f t="shared" si="15"/>
        <v>313.65000000000003</v>
      </c>
      <c r="AH44" s="251">
        <f t="shared" si="15"/>
        <v>37.29375</v>
      </c>
      <c r="AI44" s="229">
        <f t="shared" si="16"/>
        <v>95.03088</v>
      </c>
      <c r="AJ44" s="229">
        <f t="shared" si="16"/>
        <v>620.868416</v>
      </c>
      <c r="AK44" s="229">
        <f t="shared" si="16"/>
        <v>89.3290272</v>
      </c>
      <c r="AL44" s="255">
        <f t="shared" si="11"/>
        <v>1156.1720731999999</v>
      </c>
    </row>
    <row r="45" spans="1:38" ht="11.25" customHeight="1">
      <c r="A45" s="8">
        <v>39</v>
      </c>
      <c r="B45" s="8">
        <v>65</v>
      </c>
      <c r="C45" s="8"/>
      <c r="D45" s="16">
        <v>8</v>
      </c>
      <c r="E45" s="17">
        <f>VLOOKUP(D45,'A13 - Tabelle'!$A$6:$F$13,6)</f>
        <v>60640.31999999999</v>
      </c>
      <c r="F45" s="17">
        <f>VLOOKUP(D45,'A13 - Tabelle'!$A$6:$G$13,7)</f>
        <v>44013.52</v>
      </c>
      <c r="G45" s="18">
        <f t="shared" si="0"/>
        <v>41493.52</v>
      </c>
      <c r="H45" s="19"/>
      <c r="I45" s="414">
        <v>7</v>
      </c>
      <c r="J45" s="17">
        <f>VLOOKUP(I45,'E13 - Tabelle'!$A$7:$L$18,11)</f>
        <v>76024.704</v>
      </c>
      <c r="K45" s="20">
        <f>VLOOKUP(I45,'E13 - Tabelle'!$A$7:$L$18,12)</f>
        <v>40338.47</v>
      </c>
      <c r="L45" s="28">
        <f t="shared" si="1"/>
        <v>-1155.0499999999956</v>
      </c>
      <c r="M45" s="32">
        <f t="shared" si="12"/>
        <v>-8815.099999999904</v>
      </c>
      <c r="N45" s="8">
        <v>39</v>
      </c>
      <c r="O45" s="8">
        <v>65</v>
      </c>
      <c r="P45" s="47"/>
      <c r="Q45" s="47"/>
      <c r="R45" s="342"/>
      <c r="S45" s="221"/>
      <c r="T45" s="228"/>
      <c r="U45" s="229">
        <f t="shared" si="13"/>
        <v>279.22499999999997</v>
      </c>
      <c r="V45" s="229">
        <f t="shared" si="13"/>
        <v>37.29375</v>
      </c>
      <c r="W45" s="229">
        <f t="shared" si="14"/>
        <v>95.03088</v>
      </c>
      <c r="X45" s="229">
        <f t="shared" si="14"/>
        <v>620.868416</v>
      </c>
      <c r="Y45" s="229">
        <f t="shared" si="14"/>
        <v>408.632784</v>
      </c>
      <c r="Z45" s="230">
        <f t="shared" si="4"/>
        <v>1441.0508300000001</v>
      </c>
      <c r="AA45" s="230">
        <f t="shared" si="5"/>
        <v>6335.392</v>
      </c>
      <c r="AB45" s="231">
        <f t="shared" si="6"/>
        <v>7776.44283</v>
      </c>
      <c r="AC45" s="232"/>
      <c r="AD45" s="245">
        <f t="shared" si="7"/>
        <v>3361.539166666667</v>
      </c>
      <c r="AE45" s="246">
        <f t="shared" si="8"/>
        <v>4414.903663333333</v>
      </c>
      <c r="AF45" s="232"/>
      <c r="AG45" s="251">
        <f t="shared" si="15"/>
        <v>313.65000000000003</v>
      </c>
      <c r="AH45" s="251">
        <f t="shared" si="15"/>
        <v>37.29375</v>
      </c>
      <c r="AI45" s="229">
        <f t="shared" si="16"/>
        <v>95.03088</v>
      </c>
      <c r="AJ45" s="229">
        <f t="shared" si="16"/>
        <v>620.868416</v>
      </c>
      <c r="AK45" s="229">
        <f t="shared" si="16"/>
        <v>89.3290272</v>
      </c>
      <c r="AL45" s="255">
        <f t="shared" si="11"/>
        <v>1156.1720731999999</v>
      </c>
    </row>
    <row r="46" spans="1:38" ht="11.25" customHeight="1">
      <c r="A46" s="8">
        <v>40</v>
      </c>
      <c r="B46" s="240">
        <v>66</v>
      </c>
      <c r="C46" s="8"/>
      <c r="D46" s="21">
        <v>8</v>
      </c>
      <c r="E46" s="17">
        <f>VLOOKUP(D46,'A13 - Tabelle'!$A$6:$F$13,6)</f>
        <v>60640.31999999999</v>
      </c>
      <c r="F46" s="17">
        <f>VLOOKUP(D46,'A13 - Tabelle'!$A$6:$G$13,7)</f>
        <v>44013.52</v>
      </c>
      <c r="G46" s="18">
        <f t="shared" si="0"/>
        <v>41493.52</v>
      </c>
      <c r="H46" s="19"/>
      <c r="I46" s="414">
        <v>7</v>
      </c>
      <c r="J46" s="17">
        <f>VLOOKUP(I46,'E13 - Tabelle'!$A$7:$L$18,11)</f>
        <v>76024.704</v>
      </c>
      <c r="K46" s="20">
        <f>VLOOKUP(I46,'E13 - Tabelle'!$A$7:$L$18,12)</f>
        <v>40338.47</v>
      </c>
      <c r="L46" s="70">
        <f t="shared" si="1"/>
        <v>-1155.0499999999956</v>
      </c>
      <c r="M46" s="71">
        <f t="shared" si="12"/>
        <v>-9970.1499999999</v>
      </c>
      <c r="N46" s="8">
        <v>40</v>
      </c>
      <c r="O46" s="240">
        <v>66</v>
      </c>
      <c r="P46" s="47"/>
      <c r="Q46" s="47"/>
      <c r="R46" s="342"/>
      <c r="S46" s="221"/>
      <c r="T46" s="233"/>
      <c r="U46" s="229">
        <f t="shared" si="13"/>
        <v>279.22499999999997</v>
      </c>
      <c r="V46" s="229">
        <f t="shared" si="13"/>
        <v>37.29375</v>
      </c>
      <c r="W46" s="229">
        <f t="shared" si="14"/>
        <v>95.03088</v>
      </c>
      <c r="X46" s="229">
        <f t="shared" si="14"/>
        <v>620.868416</v>
      </c>
      <c r="Y46" s="229">
        <f t="shared" si="14"/>
        <v>408.632784</v>
      </c>
      <c r="Z46" s="230">
        <f t="shared" si="4"/>
        <v>1441.0508300000001</v>
      </c>
      <c r="AA46" s="230">
        <f t="shared" si="5"/>
        <v>6335.392</v>
      </c>
      <c r="AB46" s="231">
        <f t="shared" si="6"/>
        <v>7776.44283</v>
      </c>
      <c r="AC46" s="232"/>
      <c r="AD46" s="245">
        <f t="shared" si="7"/>
        <v>3361.539166666667</v>
      </c>
      <c r="AE46" s="246">
        <f t="shared" si="8"/>
        <v>4414.903663333333</v>
      </c>
      <c r="AF46" s="232"/>
      <c r="AG46" s="251">
        <f t="shared" si="15"/>
        <v>313.65000000000003</v>
      </c>
      <c r="AH46" s="251">
        <f t="shared" si="15"/>
        <v>37.29375</v>
      </c>
      <c r="AI46" s="229">
        <f t="shared" si="16"/>
        <v>95.03088</v>
      </c>
      <c r="AJ46" s="229">
        <f t="shared" si="16"/>
        <v>620.868416</v>
      </c>
      <c r="AK46" s="229">
        <f t="shared" si="16"/>
        <v>89.3290272</v>
      </c>
      <c r="AL46" s="255">
        <f t="shared" si="11"/>
        <v>1156.1720731999999</v>
      </c>
    </row>
    <row r="47" spans="1:38" s="123" customFormat="1" ht="13.5" thickBot="1">
      <c r="A47" s="117"/>
      <c r="B47" s="117"/>
      <c r="C47" s="117"/>
      <c r="D47" s="114" t="s">
        <v>7</v>
      </c>
      <c r="E47" s="118">
        <f>AVERAGE(E7:E46)</f>
        <v>57071.10900000003</v>
      </c>
      <c r="F47" s="118">
        <f>AVERAGE(F7:F46)</f>
        <v>41997.77175000001</v>
      </c>
      <c r="G47" s="108">
        <f>AVERAGE(G7:G46)</f>
        <v>39477.77175000001</v>
      </c>
      <c r="H47" s="119"/>
      <c r="I47" s="114" t="s">
        <v>7</v>
      </c>
      <c r="J47" s="118">
        <f>AVERAGE(J7:J46)</f>
        <v>73563.59289999996</v>
      </c>
      <c r="K47" s="115">
        <f>AVERAGE(K7:K46)</f>
        <v>39228.51799999998</v>
      </c>
      <c r="L47" s="120">
        <f>AVERAGE(L7:L46)</f>
        <v>-249.2537499999975</v>
      </c>
      <c r="M47" s="121"/>
      <c r="N47" s="424">
        <f>L47*40</f>
        <v>-9970.1499999999</v>
      </c>
      <c r="O47" s="425"/>
      <c r="P47" s="425"/>
      <c r="Q47" s="122"/>
      <c r="R47" s="343"/>
      <c r="S47" s="281"/>
      <c r="T47" s="234" t="s">
        <v>7</v>
      </c>
      <c r="U47" s="235">
        <f aca="true" t="shared" si="17" ref="U47:AB47">AVERAGE(U7:U46)</f>
        <v>279.2250000000002</v>
      </c>
      <c r="V47" s="235">
        <f t="shared" si="17"/>
        <v>37.29375000000003</v>
      </c>
      <c r="W47" s="235">
        <f t="shared" si="17"/>
        <v>91.95449112499992</v>
      </c>
      <c r="X47" s="235">
        <f t="shared" si="17"/>
        <v>600.7693420166669</v>
      </c>
      <c r="Y47" s="235">
        <f t="shared" si="17"/>
        <v>395.40431183749985</v>
      </c>
      <c r="Z47" s="236">
        <f t="shared" si="17"/>
        <v>1404.6468949791667</v>
      </c>
      <c r="AA47" s="236">
        <f t="shared" si="17"/>
        <v>6130.299408333328</v>
      </c>
      <c r="AB47" s="238">
        <f t="shared" si="17"/>
        <v>7534.9463033125085</v>
      </c>
      <c r="AC47" s="232"/>
      <c r="AD47" s="247">
        <f>AVERAGE(AD7:AD46)</f>
        <v>3269.043166666668</v>
      </c>
      <c r="AE47" s="238">
        <f>AVERAGE(AE7:AE46)</f>
        <v>4265.903136645831</v>
      </c>
      <c r="AF47" s="232"/>
      <c r="AG47" s="252">
        <f aca="true" t="shared" si="18" ref="AG47:AL47">AVERAGE(AG7:AG46)</f>
        <v>313.64999999999975</v>
      </c>
      <c r="AH47" s="235">
        <f t="shared" si="18"/>
        <v>37.29375000000003</v>
      </c>
      <c r="AI47" s="235">
        <f t="shared" si="18"/>
        <v>91.95449112499992</v>
      </c>
      <c r="AJ47" s="235">
        <f t="shared" si="18"/>
        <v>600.7693420166669</v>
      </c>
      <c r="AK47" s="235">
        <f t="shared" si="18"/>
        <v>86.43722165749996</v>
      </c>
      <c r="AL47" s="237">
        <f t="shared" si="18"/>
        <v>1130.1048047991671</v>
      </c>
    </row>
    <row r="48" spans="4:38" s="176" customFormat="1" ht="13.5" thickTop="1">
      <c r="D48" s="173" t="s">
        <v>52</v>
      </c>
      <c r="E48" s="174">
        <f>E47/12</f>
        <v>4755.925750000003</v>
      </c>
      <c r="F48" s="174">
        <f>F47/12</f>
        <v>3499.8143125000006</v>
      </c>
      <c r="G48" s="174">
        <f>G47/12</f>
        <v>3289.8143125000006</v>
      </c>
      <c r="H48" s="174"/>
      <c r="I48" s="175"/>
      <c r="J48" s="174">
        <f>J47/12</f>
        <v>6130.29940833333</v>
      </c>
      <c r="K48" s="174">
        <f>K47/12</f>
        <v>3269.043166666665</v>
      </c>
      <c r="L48" s="174">
        <f>L47/12</f>
        <v>-20.771145833333126</v>
      </c>
      <c r="M48" s="31"/>
      <c r="N48" s="31"/>
      <c r="O48" s="31"/>
      <c r="P48" s="31"/>
      <c r="Q48" s="31"/>
      <c r="R48" s="343"/>
      <c r="S48" s="254"/>
      <c r="T48" s="40" t="s">
        <v>106</v>
      </c>
      <c r="U48" s="239"/>
      <c r="V48" s="239"/>
      <c r="AC48" s="172"/>
      <c r="AD48" s="172"/>
      <c r="AE48" s="172"/>
      <c r="AF48" s="172"/>
      <c r="AG48" s="172"/>
      <c r="AH48" s="172"/>
      <c r="AI48" s="172"/>
      <c r="AJ48" s="172"/>
      <c r="AK48" s="172"/>
      <c r="AL48" s="172"/>
    </row>
    <row r="49" spans="1:38" ht="12.75">
      <c r="A49" s="344"/>
      <c r="B49" s="344"/>
      <c r="C49" s="344"/>
      <c r="D49" s="342"/>
      <c r="E49" s="345"/>
      <c r="F49" s="346"/>
      <c r="G49" s="347"/>
      <c r="H49" s="348"/>
      <c r="I49" s="342"/>
      <c r="J49" s="345"/>
      <c r="K49" s="347"/>
      <c r="L49" s="349"/>
      <c r="M49" s="349"/>
      <c r="N49" s="350"/>
      <c r="O49" s="351"/>
      <c r="P49" s="352"/>
      <c r="Q49" s="352"/>
      <c r="R49" s="342"/>
      <c r="S49" s="221"/>
      <c r="T49" s="241" t="s">
        <v>107</v>
      </c>
      <c r="Y49" s="242"/>
      <c r="Z49" s="240"/>
      <c r="AA49" s="240"/>
      <c r="AB49" s="239"/>
      <c r="AC49" s="239"/>
      <c r="AD49" s="40"/>
      <c r="AF49" s="239"/>
      <c r="AH49" s="239"/>
      <c r="AI49" s="239"/>
      <c r="AK49" s="239"/>
      <c r="AL49" s="240"/>
    </row>
    <row r="50" spans="9:24" ht="12.75">
      <c r="I50" s="267" t="s">
        <v>84</v>
      </c>
      <c r="J50" s="174">
        <f>J48-'E13 - Modell'!J48</f>
        <v>855.607616666668</v>
      </c>
      <c r="K50" s="174">
        <f>K48-'E13 - Modell'!K48</f>
        <v>391.6001249999981</v>
      </c>
      <c r="T50" s="40" t="s">
        <v>77</v>
      </c>
      <c r="U50" s="242"/>
      <c r="V50" s="264" t="s">
        <v>80</v>
      </c>
      <c r="W50" s="242"/>
      <c r="X50" s="242"/>
    </row>
    <row r="51" ht="12.75">
      <c r="V51" s="358" t="s">
        <v>78</v>
      </c>
    </row>
    <row r="52" ht="12.75">
      <c r="V52" s="264" t="s">
        <v>105</v>
      </c>
    </row>
    <row r="53" ht="12.75">
      <c r="V53" s="264" t="s">
        <v>104</v>
      </c>
    </row>
  </sheetData>
  <sheetProtection/>
  <mergeCells count="3">
    <mergeCell ref="D5:G5"/>
    <mergeCell ref="I5:M5"/>
    <mergeCell ref="N47:P47"/>
  </mergeCells>
  <hyperlinks>
    <hyperlink ref="V51" r:id="rId1" display="http://www.aok-bv.de/zahlen/gesundheitswesen/index_00529.html"/>
    <hyperlink ref="V50" r:id="rId2" display="http://www.lohn-info.de/beitragsberechnung.html"/>
    <hyperlink ref="V52" r:id="rId3" display="http://www.krankenkassen.de/gesetzliche-krankenkassen/system-gesetzliche-krankenversicherung/sozialversicherung-rechengroessen-beitragsbemessungsgrenze-versicherungspflichtgrenze/rechengroessen-2012/"/>
  </hyperlinks>
  <printOptions/>
  <pageMargins left="0.57" right="0.18" top="0.19" bottom="0.2" header="0.19" footer="0.17"/>
  <pageSetup horizontalDpi="600" verticalDpi="600" orientation="landscape" paperSize="9" r:id="rId4"/>
</worksheet>
</file>

<file path=xl/worksheets/sheet9.xml><?xml version="1.0" encoding="utf-8"?>
<worksheet xmlns="http://schemas.openxmlformats.org/spreadsheetml/2006/main" xmlns:r="http://schemas.openxmlformats.org/officeDocument/2006/relationships">
  <dimension ref="A1:O26"/>
  <sheetViews>
    <sheetView zoomScalePageLayoutView="0" workbookViewId="0" topLeftCell="A1">
      <selection activeCell="I23" sqref="I23:I25"/>
    </sheetView>
  </sheetViews>
  <sheetFormatPr defaultColWidth="11.421875" defaultRowHeight="12.75"/>
  <cols>
    <col min="1" max="1" width="19.57421875" style="129" customWidth="1"/>
    <col min="2" max="2" width="14.7109375" style="129" hidden="1" customWidth="1"/>
    <col min="3" max="3" width="10.421875" style="151" customWidth="1"/>
    <col min="4" max="4" width="9.7109375" style="146" customWidth="1"/>
    <col min="5" max="5" width="11.421875" style="146" customWidth="1"/>
    <col min="6" max="6" width="10.8515625" style="132" customWidth="1"/>
    <col min="7" max="7" width="10.140625" style="146" customWidth="1"/>
    <col min="8" max="8" width="10.00390625" style="146" customWidth="1"/>
    <col min="9" max="9" width="10.421875" style="150" customWidth="1"/>
    <col min="10" max="10" width="9.8515625" style="136" customWidth="1"/>
    <col min="11" max="11" width="11.140625" style="142" customWidth="1"/>
    <col min="12" max="12" width="10.8515625" style="139" customWidth="1"/>
    <col min="13" max="13" width="15.421875" style="0" customWidth="1"/>
    <col min="14" max="14" width="4.7109375" style="133" customWidth="1"/>
    <col min="15" max="15" width="15.421875" style="35" customWidth="1"/>
  </cols>
  <sheetData>
    <row r="1" spans="1:15" ht="12.75">
      <c r="A1" s="131" t="s">
        <v>141</v>
      </c>
      <c r="B1" s="131"/>
      <c r="O1" s="187"/>
    </row>
    <row r="2" spans="1:15" ht="12.75">
      <c r="A2" s="130"/>
      <c r="B2" s="130"/>
      <c r="O2" s="187"/>
    </row>
    <row r="3" spans="1:15" ht="12.75">
      <c r="A3" s="401" t="s">
        <v>97</v>
      </c>
      <c r="B3" s="411"/>
      <c r="C3" s="321" t="s">
        <v>38</v>
      </c>
      <c r="D3" s="389" t="s">
        <v>33</v>
      </c>
      <c r="E3" s="390" t="s">
        <v>33</v>
      </c>
      <c r="F3" s="322" t="s">
        <v>38</v>
      </c>
      <c r="G3" s="395" t="s">
        <v>33</v>
      </c>
      <c r="H3" s="396" t="s">
        <v>33</v>
      </c>
      <c r="I3" s="323" t="s">
        <v>44</v>
      </c>
      <c r="J3" s="324" t="s">
        <v>44</v>
      </c>
      <c r="K3" s="333" t="s">
        <v>41</v>
      </c>
      <c r="L3" s="334" t="s">
        <v>41</v>
      </c>
      <c r="M3" s="339" t="s">
        <v>98</v>
      </c>
      <c r="O3" s="187"/>
    </row>
    <row r="4" spans="1:15" ht="12.75">
      <c r="A4" s="402" t="s">
        <v>96</v>
      </c>
      <c r="B4" s="412"/>
      <c r="C4" s="325" t="s">
        <v>42</v>
      </c>
      <c r="D4" s="391" t="s">
        <v>94</v>
      </c>
      <c r="E4" s="392" t="s">
        <v>85</v>
      </c>
      <c r="F4" s="326" t="s">
        <v>42</v>
      </c>
      <c r="G4" s="397" t="s">
        <v>94</v>
      </c>
      <c r="H4" s="398" t="s">
        <v>85</v>
      </c>
      <c r="I4" s="325" t="s">
        <v>43</v>
      </c>
      <c r="J4" s="326" t="s">
        <v>43</v>
      </c>
      <c r="K4" s="335" t="s">
        <v>34</v>
      </c>
      <c r="L4" s="336" t="s">
        <v>34</v>
      </c>
      <c r="M4" s="340" t="s">
        <v>42</v>
      </c>
      <c r="O4" s="188"/>
    </row>
    <row r="5" spans="1:15" ht="12.75">
      <c r="A5" s="402" t="s">
        <v>36</v>
      </c>
      <c r="B5" s="412"/>
      <c r="C5" s="408" t="s">
        <v>138</v>
      </c>
      <c r="D5" s="391" t="s">
        <v>95</v>
      </c>
      <c r="E5" s="392"/>
      <c r="F5" s="328" t="s">
        <v>39</v>
      </c>
      <c r="G5" s="397" t="s">
        <v>95</v>
      </c>
      <c r="H5" s="398"/>
      <c r="I5" s="407" t="s">
        <v>138</v>
      </c>
      <c r="J5" s="326" t="s">
        <v>40</v>
      </c>
      <c r="K5" s="335" t="s">
        <v>37</v>
      </c>
      <c r="L5" s="336" t="s">
        <v>39</v>
      </c>
      <c r="M5" s="340" t="s">
        <v>99</v>
      </c>
      <c r="O5" s="189"/>
    </row>
    <row r="6" spans="1:15" ht="12.75">
      <c r="A6" s="402"/>
      <c r="B6" s="412"/>
      <c r="C6" s="327"/>
      <c r="D6" s="391" t="s">
        <v>2</v>
      </c>
      <c r="E6" s="392"/>
      <c r="F6" s="328"/>
      <c r="G6" s="397" t="s">
        <v>2</v>
      </c>
      <c r="H6" s="398"/>
      <c r="I6" s="325"/>
      <c r="J6" s="326"/>
      <c r="K6" s="335"/>
      <c r="L6" s="336"/>
      <c r="M6" s="340" t="s">
        <v>51</v>
      </c>
      <c r="O6" s="189"/>
    </row>
    <row r="7" spans="1:15" s="125" customFormat="1" ht="12.75">
      <c r="A7" s="402">
        <v>1</v>
      </c>
      <c r="B7" s="412"/>
      <c r="C7" s="385">
        <f>D24</f>
        <v>3672.02</v>
      </c>
      <c r="D7" s="393"/>
      <c r="E7" s="394">
        <f aca="true" t="shared" si="0" ref="E7:E12">C$11-C7</f>
        <v>1627.4100000000003</v>
      </c>
      <c r="F7" s="386">
        <f>D25</f>
        <v>2160.79</v>
      </c>
      <c r="G7" s="399"/>
      <c r="H7" s="400">
        <f aca="true" t="shared" si="1" ref="H7:H12">F$11-F7</f>
        <v>730.98</v>
      </c>
      <c r="I7" s="367">
        <v>1836.01</v>
      </c>
      <c r="J7" s="386">
        <f aca="true" t="shared" si="2" ref="J7:J12">L7-12*F7</f>
        <v>803.4700000000012</v>
      </c>
      <c r="K7" s="387">
        <f aca="true" t="shared" si="3" ref="K7:K12">C7*12+I7</f>
        <v>45900.25</v>
      </c>
      <c r="L7" s="384">
        <v>26732.95</v>
      </c>
      <c r="M7" s="388">
        <f>'A13 - Tabelle'!D6-F7</f>
        <v>603.3800000000001</v>
      </c>
      <c r="O7" s="188"/>
    </row>
    <row r="8" spans="1:15" s="126" customFormat="1" ht="12.75">
      <c r="A8" s="402">
        <v>2</v>
      </c>
      <c r="B8" s="412"/>
      <c r="C8" s="385">
        <f>E24</f>
        <v>4075.76</v>
      </c>
      <c r="D8" s="393">
        <f>C8-C7</f>
        <v>403.74000000000024</v>
      </c>
      <c r="E8" s="394">
        <f t="shared" si="0"/>
        <v>1223.67</v>
      </c>
      <c r="F8" s="386">
        <f>E25</f>
        <v>2335.17</v>
      </c>
      <c r="G8" s="399">
        <f>F8-F7</f>
        <v>174.3800000000001</v>
      </c>
      <c r="H8" s="400">
        <f t="shared" si="1"/>
        <v>556.5999999999999</v>
      </c>
      <c r="I8" s="367">
        <v>2037.88</v>
      </c>
      <c r="J8" s="386">
        <f t="shared" si="2"/>
        <v>963.6599999999999</v>
      </c>
      <c r="K8" s="387">
        <f t="shared" si="3"/>
        <v>50947</v>
      </c>
      <c r="L8" s="384">
        <v>28985.7</v>
      </c>
      <c r="M8" s="388">
        <f>'A13 - Tabelle'!D7-F8</f>
        <v>545.5299999999997</v>
      </c>
      <c r="O8" s="190"/>
    </row>
    <row r="9" spans="1:15" s="126" customFormat="1" ht="12.75">
      <c r="A9" s="402">
        <v>3</v>
      </c>
      <c r="B9" s="412"/>
      <c r="C9" s="385">
        <f>F24</f>
        <v>4293.17</v>
      </c>
      <c r="D9" s="393">
        <f>C9-C8</f>
        <v>217.40999999999985</v>
      </c>
      <c r="E9" s="394">
        <f t="shared" si="0"/>
        <v>1006.2600000000002</v>
      </c>
      <c r="F9" s="386">
        <f>F25</f>
        <v>2440.09</v>
      </c>
      <c r="G9" s="399">
        <f>F9-F8</f>
        <v>104.92000000000007</v>
      </c>
      <c r="H9" s="400">
        <f t="shared" si="1"/>
        <v>451.67999999999984</v>
      </c>
      <c r="I9" s="367">
        <v>2146.59</v>
      </c>
      <c r="J9" s="386">
        <f t="shared" si="2"/>
        <v>1013.6699999999983</v>
      </c>
      <c r="K9" s="387">
        <f t="shared" si="3"/>
        <v>53664.630000000005</v>
      </c>
      <c r="L9" s="384">
        <v>30294.75</v>
      </c>
      <c r="M9" s="388">
        <f>'A13 - Tabelle'!D8-F9</f>
        <v>555</v>
      </c>
      <c r="O9" s="190"/>
    </row>
    <row r="10" spans="1:15" s="126" customFormat="1" ht="12.75">
      <c r="A10" s="402">
        <v>4</v>
      </c>
      <c r="B10" s="412"/>
      <c r="C10" s="385">
        <f>G24</f>
        <v>4715.55</v>
      </c>
      <c r="D10" s="393">
        <f>C10-C9</f>
        <v>422.3800000000001</v>
      </c>
      <c r="E10" s="394">
        <f t="shared" si="0"/>
        <v>583.8800000000001</v>
      </c>
      <c r="F10" s="386">
        <f>G25</f>
        <v>2636.55</v>
      </c>
      <c r="G10" s="399">
        <f>F10-F9</f>
        <v>196.46000000000004</v>
      </c>
      <c r="H10" s="400">
        <f t="shared" si="1"/>
        <v>255.2199999999998</v>
      </c>
      <c r="I10" s="367">
        <v>2357.78</v>
      </c>
      <c r="J10" s="386">
        <f t="shared" si="2"/>
        <v>1056.1899999999987</v>
      </c>
      <c r="K10" s="387">
        <f t="shared" si="3"/>
        <v>58944.380000000005</v>
      </c>
      <c r="L10" s="384">
        <v>32694.79</v>
      </c>
      <c r="M10" s="388">
        <f>'A13 - Tabelle'!D9-F10</f>
        <v>471.5699999999997</v>
      </c>
      <c r="O10" s="190"/>
    </row>
    <row r="11" spans="1:15" s="126" customFormat="1" ht="12.75">
      <c r="A11" s="402">
        <v>5</v>
      </c>
      <c r="B11" s="412"/>
      <c r="C11" s="385">
        <f>H24</f>
        <v>5299.43</v>
      </c>
      <c r="D11" s="393">
        <f>C11-C10</f>
        <v>583.8800000000001</v>
      </c>
      <c r="E11" s="394">
        <f t="shared" si="0"/>
        <v>0</v>
      </c>
      <c r="F11" s="386">
        <f>H25</f>
        <v>2891.77</v>
      </c>
      <c r="G11" s="399">
        <f>F11-F10</f>
        <v>255.2199999999998</v>
      </c>
      <c r="H11" s="400">
        <f t="shared" si="1"/>
        <v>0</v>
      </c>
      <c r="I11" s="367">
        <v>2649.72</v>
      </c>
      <c r="J11" s="386">
        <f t="shared" si="2"/>
        <v>1125.5900000000038</v>
      </c>
      <c r="K11" s="387">
        <f t="shared" si="3"/>
        <v>66242.88</v>
      </c>
      <c r="L11" s="384">
        <v>35826.83</v>
      </c>
      <c r="M11" s="388">
        <f>'A13 - Tabelle'!D10-F11</f>
        <v>320.3699999999999</v>
      </c>
      <c r="O11" s="190"/>
    </row>
    <row r="12" spans="1:15" s="126" customFormat="1" ht="12.75">
      <c r="A12" s="406">
        <v>7</v>
      </c>
      <c r="B12" s="413"/>
      <c r="C12" s="329">
        <f>C$11+A15</f>
        <v>6114.582</v>
      </c>
      <c r="D12" s="405">
        <f>C12-C11</f>
        <v>815.152</v>
      </c>
      <c r="E12" s="403">
        <f t="shared" si="0"/>
        <v>-815.152</v>
      </c>
      <c r="F12" s="331">
        <v>3247.15</v>
      </c>
      <c r="G12" s="330">
        <f>F12-F11</f>
        <v>355.3800000000001</v>
      </c>
      <c r="H12" s="332">
        <f t="shared" si="1"/>
        <v>-355.3800000000001</v>
      </c>
      <c r="I12" s="329">
        <f>I11</f>
        <v>2649.72</v>
      </c>
      <c r="J12" s="331">
        <f t="shared" si="2"/>
        <v>1372.6699999999983</v>
      </c>
      <c r="K12" s="337">
        <f t="shared" si="3"/>
        <v>76024.704</v>
      </c>
      <c r="L12" s="338">
        <v>40338.47</v>
      </c>
      <c r="M12" s="341">
        <f>'A13 - Tabelle'!D11-F12</f>
        <v>13.610000000000127</v>
      </c>
      <c r="O12" s="190"/>
    </row>
    <row r="13" spans="1:15" ht="12.75">
      <c r="A13" s="415" t="s">
        <v>140</v>
      </c>
      <c r="B13" s="404"/>
      <c r="C13" s="404"/>
      <c r="D13" s="404"/>
      <c r="E13" s="404"/>
      <c r="F13" s="135"/>
      <c r="G13" s="148"/>
      <c r="H13" s="148"/>
      <c r="I13" s="141"/>
      <c r="J13" s="135"/>
      <c r="K13" s="144"/>
      <c r="L13" s="138"/>
      <c r="O13" s="187"/>
    </row>
    <row r="14" spans="1:15" ht="12.75">
      <c r="A14" s="416" t="s">
        <v>139</v>
      </c>
      <c r="B14" s="404"/>
      <c r="C14" s="404"/>
      <c r="D14" s="404"/>
      <c r="E14" s="404"/>
      <c r="F14" s="135"/>
      <c r="G14" s="148"/>
      <c r="I14" s="141"/>
      <c r="J14" s="135"/>
      <c r="K14" s="144"/>
      <c r="L14" s="138"/>
      <c r="O14" s="187"/>
    </row>
    <row r="15" spans="1:15" ht="12.75">
      <c r="A15" s="417">
        <f>C8*0.2</f>
        <v>815.152</v>
      </c>
      <c r="B15" s="404"/>
      <c r="C15" s="404"/>
      <c r="D15" s="404"/>
      <c r="E15" s="404"/>
      <c r="F15" s="135"/>
      <c r="G15" s="148"/>
      <c r="H15" s="148"/>
      <c r="I15" s="141"/>
      <c r="J15" s="135"/>
      <c r="K15" s="144"/>
      <c r="L15" s="138"/>
      <c r="O15" s="187"/>
    </row>
    <row r="16" spans="3:15" ht="12.75">
      <c r="C16" s="141"/>
      <c r="D16" s="148"/>
      <c r="E16" s="148"/>
      <c r="F16" s="135"/>
      <c r="G16" s="148"/>
      <c r="H16" s="148"/>
      <c r="I16" s="141"/>
      <c r="J16" s="135"/>
      <c r="K16" s="144"/>
      <c r="L16" s="138"/>
      <c r="O16" s="187"/>
    </row>
    <row r="17" spans="1:15" ht="12.75">
      <c r="A17" s="361" t="s">
        <v>89</v>
      </c>
      <c r="B17" s="361"/>
      <c r="C17" s="205" t="s">
        <v>137</v>
      </c>
      <c r="I17" s="368"/>
      <c r="J17" s="369"/>
      <c r="K17" s="370"/>
      <c r="O17" s="187"/>
    </row>
    <row r="18" ht="12.75">
      <c r="O18" s="187"/>
    </row>
    <row r="19" spans="1:15" ht="12.75">
      <c r="A19" s="178"/>
      <c r="B19" s="178"/>
      <c r="C19" s="179"/>
      <c r="D19" s="180"/>
      <c r="E19" s="180"/>
      <c r="F19" s="181"/>
      <c r="G19" s="180"/>
      <c r="H19" s="180"/>
      <c r="I19" s="182"/>
      <c r="J19" s="183"/>
      <c r="K19" s="184"/>
      <c r="L19" s="185"/>
      <c r="M19" s="186"/>
      <c r="N19" s="186"/>
      <c r="O19" s="187"/>
    </row>
    <row r="23" spans="1:9" ht="12.75">
      <c r="A23" s="383" t="s">
        <v>18</v>
      </c>
      <c r="B23" s="383"/>
      <c r="C23" s="366" t="s">
        <v>2</v>
      </c>
      <c r="D23" s="362">
        <v>1</v>
      </c>
      <c r="E23" s="362">
        <v>2</v>
      </c>
      <c r="F23" s="362">
        <v>3</v>
      </c>
      <c r="G23" s="362">
        <v>4</v>
      </c>
      <c r="H23" s="362">
        <v>5</v>
      </c>
      <c r="I23" s="432"/>
    </row>
    <row r="24" spans="1:9" ht="12.75">
      <c r="A24" s="362" t="s">
        <v>136</v>
      </c>
      <c r="B24" s="362"/>
      <c r="C24" s="362"/>
      <c r="D24" s="379">
        <v>3672.02</v>
      </c>
      <c r="E24" s="379">
        <v>4075.76</v>
      </c>
      <c r="F24" s="379">
        <v>4293.17</v>
      </c>
      <c r="G24" s="379">
        <v>4715.55</v>
      </c>
      <c r="H24" s="379">
        <v>5299.43</v>
      </c>
      <c r="I24" s="433"/>
    </row>
    <row r="25" spans="1:9" ht="12.75">
      <c r="A25" s="362" t="s">
        <v>135</v>
      </c>
      <c r="B25" s="362"/>
      <c r="C25" s="362"/>
      <c r="D25" s="379">
        <v>2160.79</v>
      </c>
      <c r="E25" s="379">
        <v>2335.17</v>
      </c>
      <c r="F25" s="379">
        <v>2440.09</v>
      </c>
      <c r="G25" s="379">
        <v>2636.55</v>
      </c>
      <c r="H25" s="379">
        <v>2891.77</v>
      </c>
      <c r="I25" s="433"/>
    </row>
    <row r="26" ht="12.75">
      <c r="I26" s="365"/>
    </row>
  </sheetData>
  <sheetProtection/>
  <printOptions/>
  <pageMargins left="0.25" right="0.25"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 Nettoverdienst A13 - E13</dc:title>
  <dc:subject/>
  <dc:creator>Bildet Berlin!</dc:creator>
  <cp:keywords/>
  <dc:description/>
  <cp:lastModifiedBy>Gramm</cp:lastModifiedBy>
  <cp:lastPrinted>2017-06-22T10:27:02Z</cp:lastPrinted>
  <dcterms:created xsi:type="dcterms:W3CDTF">1996-10-17T05:27:31Z</dcterms:created>
  <dcterms:modified xsi:type="dcterms:W3CDTF">2017-06-22T10:28:13Z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