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748" tabRatio="854" firstSheet="8" activeTab="13"/>
  </bookViews>
  <sheets>
    <sheet name="Einleitung" sheetId="1" r:id="rId1"/>
    <sheet name="Annahmen zur Modellierung" sheetId="2" r:id="rId2"/>
    <sheet name="DurchschnJahresnettoeinkommen" sheetId="3" r:id="rId3"/>
    <sheet name="DurchschnJahresnetto - Stufe 6" sheetId="4" r:id="rId4"/>
    <sheet name="EntwJahresnettoeinkommen" sheetId="5" r:id="rId5"/>
    <sheet name="Familienzuschlag" sheetId="6" r:id="rId6"/>
    <sheet name="E13 - Modell" sheetId="7" r:id="rId7"/>
    <sheet name="E13 ohne 6 - Modell" sheetId="8" r:id="rId8"/>
    <sheet name="E13 Stufe 5 - Modell" sheetId="9" r:id="rId9"/>
    <sheet name="E13 Stufe 5 ohne 6 - Modell" sheetId="10" r:id="rId10"/>
    <sheet name="E13 TV-L Zulagen - Modell" sheetId="11" r:id="rId11"/>
    <sheet name="A13 - Modell" sheetId="12" r:id="rId12"/>
    <sheet name="E13 - Tabelle" sheetId="13" r:id="rId13"/>
    <sheet name="A13 - Tabelle" sheetId="14" r:id="rId14"/>
    <sheet name="A13 BY - Modell" sheetId="15" r:id="rId15"/>
    <sheet name="A13 BY - Tabelle" sheetId="16" r:id="rId16"/>
  </sheets>
  <definedNames>
    <definedName name="_xlnm.Print_Area" localSheetId="11">'A13 - Modell'!$A$1:$O$48</definedName>
    <definedName name="_xlnm.Print_Area" localSheetId="13">'A13 - Tabelle'!$A$1:$J$21</definedName>
    <definedName name="_xlnm.Print_Area" localSheetId="14">'A13 BY - Modell'!$A$1:$O$48</definedName>
    <definedName name="_xlnm.Print_Area" localSheetId="15">'A13 BY - Tabelle'!$A$1:$J$21</definedName>
    <definedName name="_xlnm.Print_Area" localSheetId="1">'Annahmen zur Modellierung'!$A$1:$M$18</definedName>
    <definedName name="_xlnm.Print_Area" localSheetId="3">'DurchschnJahresnetto - Stufe 6'!$A$1:$K$19</definedName>
    <definedName name="_xlnm.Print_Area" localSheetId="2">'DurchschnJahresnettoeinkommen'!$A$1:$K$24</definedName>
    <definedName name="_xlnm.Print_Area" localSheetId="6">'E13 - Modell'!$A$1:$P$48</definedName>
    <definedName name="_xlnm.Print_Area" localSheetId="12">'E13 - Tabelle'!$A$1:$L$19</definedName>
    <definedName name="_xlnm.Print_Area" localSheetId="7">'E13 ohne 6 - Modell'!$A$1:$P$48</definedName>
    <definedName name="_xlnm.Print_Area" localSheetId="8">'E13 Stufe 5 - Modell'!$A$1:$Q$48</definedName>
    <definedName name="_xlnm.Print_Area" localSheetId="9">'E13 Stufe 5 ohne 6 - Modell'!$A$1:$Q$48</definedName>
    <definedName name="_xlnm.Print_Area" localSheetId="10">'E13 TV-L Zulagen - Modell'!$A$1:$Q$48</definedName>
    <definedName name="_xlnm.Print_Area" localSheetId="0">'Einleitung'!$A$1:$L$19</definedName>
    <definedName name="_xlnm.Print_Area" localSheetId="4">'EntwJahresnettoeinkommen'!$A$1:$J$44</definedName>
  </definedNames>
  <calcPr fullCalcOnLoad="1"/>
</workbook>
</file>

<file path=xl/sharedStrings.xml><?xml version="1.0" encoding="utf-8"?>
<sst xmlns="http://schemas.openxmlformats.org/spreadsheetml/2006/main" count="626" uniqueCount="178">
  <si>
    <t>Jahr</t>
  </si>
  <si>
    <t>Alter</t>
  </si>
  <si>
    <t>Stufe</t>
  </si>
  <si>
    <t>Jahresgehalt netto ohne KV</t>
  </si>
  <si>
    <t>Jahresgehalt 
brutto</t>
  </si>
  <si>
    <t>Jahresgehalt
brutto</t>
  </si>
  <si>
    <t>Jahresgehalt
netto</t>
  </si>
  <si>
    <t>Æ</t>
  </si>
  <si>
    <t>Differenz  zu Jahresgehalt netto A13</t>
  </si>
  <si>
    <t>50% PKV monatl.:</t>
  </si>
  <si>
    <t>Die Zahlen im Überblick:</t>
  </si>
  <si>
    <t>Beamter A13</t>
  </si>
  <si>
    <t>Modellrechnung Vergleich Besoldung A13 und TV-L Entgeltstufe E13</t>
  </si>
  <si>
    <t>E13</t>
  </si>
  <si>
    <t>Jv°</t>
  </si>
  <si>
    <t>E13 Stufe 5</t>
  </si>
  <si>
    <t>A13</t>
  </si>
  <si>
    <t>Anteil</t>
  </si>
  <si>
    <t>° Jv = Differenz des Lebensarbeitszeitnettoverdienstes in Jahresnettoverdiensten</t>
  </si>
  <si>
    <t>duchschnittliches Jahresnetto-einkommen</t>
  </si>
  <si>
    <t>Differenz 
zu E13</t>
  </si>
  <si>
    <t>Differenz zu E13 Stufe 5</t>
  </si>
  <si>
    <t>Eingruppierung</t>
  </si>
  <si>
    <t>Jahresgehalt netto abzügl.
50% PKV</t>
  </si>
  <si>
    <t>Summe der Differenz zu Jahresgehalt
netto  A13</t>
  </si>
  <si>
    <t>Modellrechnung Vergleich Besoldung A13 und TV-L Entgeltstufe E13 Vorweggewährung Stufe 5</t>
  </si>
  <si>
    <t>Modellrechnung Besoldung A13</t>
  </si>
  <si>
    <t>Differenz 
zu Beamten in 40 Jahren</t>
  </si>
  <si>
    <r>
      <t>Æ</t>
    </r>
    <r>
      <rPr>
        <b/>
        <i/>
        <sz val="6"/>
        <rFont val="Arial"/>
        <family val="2"/>
      </rPr>
      <t xml:space="preserve"> Jahres-nettoein-kommen</t>
    </r>
  </si>
  <si>
    <t>Dienst-jahr</t>
  </si>
  <si>
    <t>Differenz</t>
  </si>
  <si>
    <t>verdienst</t>
  </si>
  <si>
    <t>Erfahrungs-</t>
  </si>
  <si>
    <t>stufe</t>
  </si>
  <si>
    <t>brutto</t>
  </si>
  <si>
    <t>monatl.</t>
  </si>
  <si>
    <t>netto*</t>
  </si>
  <si>
    <t>netto</t>
  </si>
  <si>
    <t>Jahres-</t>
  </si>
  <si>
    <t>Verdienst</t>
  </si>
  <si>
    <t>derzahlung</t>
  </si>
  <si>
    <t>Jahresson-</t>
  </si>
  <si>
    <t>Jahresver-</t>
  </si>
  <si>
    <t>dienst netto</t>
  </si>
  <si>
    <t>E13 Tarif</t>
  </si>
  <si>
    <t>monatl. Ver-</t>
  </si>
  <si>
    <t>abzügl. 50% PKV</t>
  </si>
  <si>
    <r>
      <t>Æ</t>
    </r>
    <r>
      <rPr>
        <i/>
        <sz val="8"/>
        <color indexed="23"/>
        <rFont val="Arial"/>
        <family val="2"/>
      </rPr>
      <t xml:space="preserve"> monatlich:</t>
    </r>
  </si>
  <si>
    <t xml:space="preserve"> Differenz 
zu Beamten jährlich</t>
  </si>
  <si>
    <t>Prozentsatz:</t>
  </si>
  <si>
    <t>monatliche* Kosten Arbeitgeber:</t>
  </si>
  <si>
    <t>Pflege-versicherung</t>
  </si>
  <si>
    <t>Arbeitslosen-versicherung</t>
  </si>
  <si>
    <t>Renten-versicherung</t>
  </si>
  <si>
    <t>Summe Sozialver-sicherung</t>
  </si>
  <si>
    <t>Entgelt brutto</t>
  </si>
  <si>
    <t>Kosten Arbeitgeber</t>
  </si>
  <si>
    <t>netto-Einkommen Arbeitnehmer</t>
  </si>
  <si>
    <t xml:space="preserve">  * inkl. Jahressonderzahlung</t>
  </si>
  <si>
    <t>Differenz 
AG-Kosten - AN-Netto</t>
  </si>
  <si>
    <t>monatliche* Kosten Arbeitnehmer:</t>
  </si>
  <si>
    <t>VBL</t>
  </si>
  <si>
    <t>KV</t>
  </si>
  <si>
    <t>Besoldung brutto</t>
  </si>
  <si>
    <r>
      <t xml:space="preserve">Æ  </t>
    </r>
    <r>
      <rPr>
        <sz val="8"/>
        <rFont val="Arial"/>
        <family val="2"/>
      </rPr>
      <t>Pensions-kosten</t>
    </r>
  </si>
  <si>
    <r>
      <t xml:space="preserve">Æ   </t>
    </r>
    <r>
      <rPr>
        <sz val="8"/>
        <color indexed="23"/>
        <rFont val="Arial"/>
        <family val="2"/>
      </rPr>
      <t>Kosten Beihilfe**</t>
    </r>
  </si>
  <si>
    <t>** Hier sind die Kosten für das Beihilfe-System durch die Anzahl der versorgten Beamten zu teilen.</t>
  </si>
  <si>
    <r>
      <t xml:space="preserve">Æ  </t>
    </r>
    <r>
      <rPr>
        <sz val="8"/>
        <rFont val="Arial"/>
        <family val="2"/>
      </rPr>
      <t>Pensionskosten:</t>
    </r>
  </si>
  <si>
    <r>
      <t xml:space="preserve">Æ   </t>
    </r>
    <r>
      <rPr>
        <sz val="8"/>
        <color indexed="23"/>
        <rFont val="Arial"/>
        <family val="2"/>
      </rPr>
      <t>Kosten Beihilfe**:</t>
    </r>
  </si>
  <si>
    <t>Entgelt
brutto</t>
  </si>
  <si>
    <t>** Die Beitragsbemessungsgrenzen für die Rentenversicherung 2012 (Westen) von 67.200 € Jahresgehalt oder 5.600 € Monatsgehalt (brutto) wird nicht erreicht.</t>
  </si>
  <si>
    <t xml:space="preserve">Quellen: </t>
  </si>
  <si>
    <t>http://www.aok-bv.de/zahlen/gesundheitswesen/index_00529.html</t>
  </si>
  <si>
    <t>http://www.krankenkassen.de/gesetzliche-krankenkassen/system-gesetzliche-krankenversicherung/sozialversicherung-rechengroessen-beitragsbemessungsgrenze-versicherungspflichtgrenze/rechengroessen-2012/</t>
  </si>
  <si>
    <t>http://www.lohn-info.de/beitragsberechnung.html</t>
  </si>
  <si>
    <t>Arbeitslosen-versicherung**</t>
  </si>
  <si>
    <t>Renten-versicherung**</t>
  </si>
  <si>
    <t>Stand:</t>
  </si>
  <si>
    <t>Differenz zu E13 ohne Zulage:</t>
  </si>
  <si>
    <t>zu Stufe 5</t>
  </si>
  <si>
    <t>Pension (71,75%)</t>
  </si>
  <si>
    <t>zum Vergleich: Jahresnettoverdienst TV-L E13 Stufe 5:</t>
  </si>
  <si>
    <r>
      <t xml:space="preserve">zum Vergleich: </t>
    </r>
    <r>
      <rPr>
        <sz val="10"/>
        <rFont val="Symbol"/>
        <family val="1"/>
      </rPr>
      <t>Æ</t>
    </r>
    <r>
      <rPr>
        <sz val="10"/>
        <rFont val="Arial"/>
        <family val="2"/>
      </rPr>
      <t xml:space="preserve"> Jahresnettoverdienst TV-L E13:</t>
    </r>
  </si>
  <si>
    <t>* gemäß</t>
  </si>
  <si>
    <t xml:space="preserve">netto Pension gemäß </t>
  </si>
  <si>
    <t>http://www.brutto-netto-rechner.info</t>
  </si>
  <si>
    <t>E13 Zulagen max</t>
  </si>
  <si>
    <t>zur vorher-</t>
  </si>
  <si>
    <t>gehenden</t>
  </si>
  <si>
    <t>rungs-</t>
  </si>
  <si>
    <t>Erfah-</t>
  </si>
  <si>
    <t>E13 Zulagen gem.§16(5) TV-L</t>
  </si>
  <si>
    <t>monatlich</t>
  </si>
  <si>
    <t>jährlich</t>
  </si>
  <si>
    <t>Arbeitslosen-versicherung*</t>
  </si>
  <si>
    <t>rechengroessen-beitragsbemessungsgrenze-versicherungspflichtgrenze/rechengroessen-2012/</t>
  </si>
  <si>
    <r>
      <t>http://www.krankenkassen.de/gesetzliche-krankenkassen/system-gesetzliche-krankenversicherung/sozialversicherung-</t>
    </r>
    <r>
      <rPr>
        <u val="single"/>
        <sz val="8"/>
        <color indexed="9"/>
        <rFont val="Arial"/>
        <family val="2"/>
      </rPr>
      <t>rechengroessen-beitragsbemessungsgrenze-versicherungspflichtgrenze/rechengroessen-2012/</t>
    </r>
  </si>
  <si>
    <t>* inkl. Jahressonderzahlung</t>
  </si>
  <si>
    <r>
      <t>Besoldung Berlin A13</t>
    </r>
    <r>
      <rPr>
        <sz val="8"/>
        <rFont val="Arial"/>
        <family val="2"/>
      </rPr>
      <t xml:space="preserve"> ab 1.1.2016</t>
    </r>
  </si>
  <si>
    <r>
      <t xml:space="preserve">Entgelt TV-L E13 Berlin </t>
    </r>
    <r>
      <rPr>
        <sz val="8"/>
        <rFont val="Arial"/>
        <family val="2"/>
      </rPr>
      <t>ab 1.1.2016
bei Vorweggewährung von 2 Erfahrungsstufen 
sowie einer Zulage von 20% der Stufe 2 gemäß § 16 (5) TV-L</t>
    </r>
  </si>
  <si>
    <t>Modellrechnung Vergleich Besoldung A13 und TV-L E13 + Zulage zu Stufe 5 (20% der Stufe 2)</t>
  </si>
  <si>
    <t>in 40 Dienstjahren:</t>
  </si>
  <si>
    <t>Summe:</t>
  </si>
  <si>
    <r>
      <t>Besoldung Berlin A13</t>
    </r>
    <r>
      <rPr>
        <sz val="8"/>
        <rFont val="Arial"/>
        <family val="2"/>
      </rPr>
      <t xml:space="preserve"> ab 1.8.2018</t>
    </r>
  </si>
  <si>
    <r>
      <t xml:space="preserve">Entgelt TV-L Berlin E13 ab 1.10.2018
</t>
    </r>
    <r>
      <rPr>
        <sz val="8"/>
        <rFont val="Arial"/>
        <family val="2"/>
      </rPr>
      <t>heute tariflich abgesichert</t>
    </r>
  </si>
  <si>
    <r>
      <t>Besoldung Berlin A13</t>
    </r>
    <r>
      <rPr>
        <sz val="8"/>
        <rFont val="Arial"/>
        <family val="2"/>
      </rPr>
      <t>, neue Besoldung ab 1.8.2018</t>
    </r>
  </si>
  <si>
    <r>
      <t xml:space="preserve">Entgelt TV-L Berlin E13 ab 1.10.2018
Vorweggewährung der Erfahrungsstufe 5
</t>
    </r>
    <r>
      <rPr>
        <sz val="8"/>
        <rFont val="Arial"/>
        <family val="2"/>
      </rPr>
      <t>(außertarifliche, kündbare Nebenabrede)</t>
    </r>
  </si>
  <si>
    <r>
      <t xml:space="preserve">Besoldung Berlin A13 </t>
    </r>
    <r>
      <rPr>
        <sz val="8"/>
        <rFont val="Arial"/>
        <family val="2"/>
      </rPr>
      <t>ab 1.8.2018</t>
    </r>
  </si>
  <si>
    <t>TV-L E13 Berlin ab 01.10.2018, ledig, keine Kinder, Steuerklasse 1</t>
  </si>
  <si>
    <t>A13 Berlin Stand 1.8.2018, ledig, keine Kinder, Steuerklasse 1</t>
  </si>
  <si>
    <t>http://oeffentlicher-dienst.info/c/t/rechner/beamte/be?id=beamte-berlin-2018&amp;g=A_13&amp;s=0&amp;f=0&amp;z=100&amp;zulage=&amp;stj=2017&amp;stkl=1&amp;r=0&amp;zkf=0</t>
  </si>
  <si>
    <t>inkl. allgemeine Stellenzulage höherer Dienst 88,59 €</t>
  </si>
  <si>
    <t>moatl. netto ohne Sonderzahlung:</t>
  </si>
  <si>
    <t>moatl. brutto ohne Sonderzahlung:</t>
  </si>
  <si>
    <t>http://oeffentlicher-dienst.info/c/t/rechner/tv-l/west?id=tv-l-2018i</t>
  </si>
  <si>
    <t>brutto*</t>
  </si>
  <si>
    <t>maximale Zulage nach §16 (5) TV-L (20% von Stufe 2):</t>
  </si>
  <si>
    <t>â</t>
  </si>
  <si>
    <t>Die Vorweggewährung der Stufe 5 verringert die Differenz von 11% auf 8%.</t>
  </si>
  <si>
    <t>Beamter A13 (nach Abzug 210€ PKV/PPV)</t>
  </si>
  <si>
    <t xml:space="preserve">Eine angestellte verheiratete Lehrkraft mit 2 Kindern verdient in 40 Dienstjahren trotz Zulage aktuell netto </t>
  </si>
  <si>
    <t>über 3 komplette Jahresgehälter weniger als beamtete Kollegen.</t>
  </si>
  <si>
    <t xml:space="preserve">Damit bietet die Verbeamtung über die Lebensarbeitszeit gerechnet weiterhin ein signifikant höheres Nettoeinkommen.
</t>
  </si>
  <si>
    <t>50% PKV/PPV monatl.:</t>
  </si>
  <si>
    <t>für eine Lehrkraft, die mit 27 Jahren zum 01. August 2018 eingestellt wurde und unverheiratet und kinderlos bleibt ohne zukünftige Inflation und Lohnentwicklung</t>
  </si>
  <si>
    <t>für eine Lehrkraft, die mit 27 Jahren zum 01. August 2018 vereidigt wurde und unverheiratet und kinderlos bleibt ohne zukünftige Inflation und Lohnentwicklung</t>
  </si>
  <si>
    <t>© Bildet Berlin! e. V. 2018</t>
  </si>
  <si>
    <t>Beitragsbemessungsgrenze Krankenversicherung 2018:</t>
  </si>
  <si>
    <t>(West)</t>
  </si>
  <si>
    <t>Rente/ALV:</t>
  </si>
  <si>
    <t>Bezugsgröße</t>
  </si>
  <si>
    <t>Rentenpunkte</t>
  </si>
  <si>
    <t>Rentenwert</t>
  </si>
  <si>
    <t>zu erwartende monatl. Rente</t>
  </si>
  <si>
    <t>S</t>
  </si>
  <si>
    <t>VBL Alters-faktor</t>
  </si>
  <si>
    <t>VBL-Ver-sorgungs-punkte</t>
  </si>
  <si>
    <t>Messbetrag</t>
  </si>
  <si>
    <t>zu erwartende monatl. VBL</t>
  </si>
  <si>
    <t>monatliche Rente + VBL</t>
  </si>
  <si>
    <t>2018:</t>
  </si>
  <si>
    <t>Rente 2018:</t>
  </si>
  <si>
    <t>VBL 2018:</t>
  </si>
  <si>
    <t>Summe der</t>
  </si>
  <si>
    <t>Differenzen:</t>
  </si>
  <si>
    <t>Die Beitragsbemessungsgrenzen für die Rentenversicherung (Westen) wird nicht erreicht.</t>
  </si>
  <si>
    <t>A13 Bayern Stand 1.8.2018, ledig, keine Kinder, Steuerklasse 1</t>
  </si>
  <si>
    <t>Beamter A13 aus Bayern (nach Abzug 210€ PKV/PPV)</t>
  </si>
  <si>
    <t>TV-L E13 Tarif heute</t>
  </si>
  <si>
    <t>TV-L E13 inkl. Zulage heute</t>
  </si>
  <si>
    <t>TV-L E13 inkl. max. mögl. Zulage</t>
  </si>
  <si>
    <t xml:space="preserve"> Differenz 
zu Beamten Berlin</t>
  </si>
  <si>
    <t>TV-L E13 inkl. Zulage heute (Stufe 5)</t>
  </si>
  <si>
    <t>TV-L E13 inkl. max. mögl. Zulage (§16: +20% von Erfahrungsstufe 2)</t>
  </si>
  <si>
    <t>TV-L E13 ohne Stufe 6</t>
  </si>
  <si>
    <t>TV-L E13 mit Stufe 6</t>
  </si>
  <si>
    <t>TV-L E13 mit Zulage (Stufe 5) ohne Stufe 6</t>
  </si>
  <si>
    <t>TV-L E13 mit Zulage (Stufe 5) mit Stufe 6</t>
  </si>
  <si>
    <t>monatl. brutto ohne Sonderzahlung:</t>
  </si>
  <si>
    <t>monatl. netto ohne Sonderzahlung:</t>
  </si>
  <si>
    <t>in 25 Jahren Unterhaltszeit:</t>
  </si>
  <si>
    <r>
      <t>Familienzuschlag</t>
    </r>
    <r>
      <rPr>
        <sz val="10"/>
        <rFont val="Arial"/>
        <family val="2"/>
      </rPr>
      <t xml:space="preserve"> Beamte Berlin (brutto)</t>
    </r>
  </si>
  <si>
    <t>gültig ab:</t>
  </si>
  <si>
    <t>verheiratet</t>
  </si>
  <si>
    <t>2 Kinder ledig</t>
  </si>
  <si>
    <t>2 Kinder verheiratet</t>
  </si>
  <si>
    <t>Quelle:</t>
  </si>
  <si>
    <t>http://www.besoldung-berlin.de/besoldung_in_berlin/familienzuschlag_in_berlin</t>
  </si>
  <si>
    <t>Angestellte</t>
  </si>
  <si>
    <r>
      <t xml:space="preserve">Öffentlichen </t>
    </r>
    <r>
      <rPr>
        <i/>
        <sz val="9"/>
        <color indexed="8"/>
        <rFont val="Calibri"/>
        <family val="2"/>
      </rPr>
      <t xml:space="preserve">Dienst der Länder </t>
    </r>
    <r>
      <rPr>
        <sz val="9"/>
        <color indexed="8"/>
        <rFont val="Calibri"/>
        <family val="2"/>
      </rPr>
      <t>(TV-L) sieht keine familienbezogenen Leistungen zur Unterstützung von Familien vor.</t>
    </r>
  </si>
  <si>
    <r>
      <t xml:space="preserve">Im für Lehrkräfte in Berlin bis 2009 angewendetn </t>
    </r>
    <r>
      <rPr>
        <i/>
        <sz val="9"/>
        <color indexed="8"/>
        <rFont val="Calibri"/>
        <family val="2"/>
      </rPr>
      <t xml:space="preserve">Bundes-Angestelltentarifvertrag </t>
    </r>
    <r>
      <rPr>
        <sz val="9"/>
        <color indexed="8"/>
        <rFont val="Calibri"/>
        <family val="2"/>
      </rPr>
      <t>(BAT) gab es noch einen dem Fami-</t>
    </r>
  </si>
  <si>
    <r>
      <t>lienzuschlag entsprechenden Ortszuschlag. Der seit 2010 in Berlin für Lehrkräfte angewendete</t>
    </r>
    <r>
      <rPr>
        <i/>
        <sz val="9"/>
        <color indexed="8"/>
        <rFont val="Calibri"/>
        <family val="2"/>
      </rPr>
      <t xml:space="preserve"> Tarifvertrag für den </t>
    </r>
  </si>
  <si>
    <t>Anteil an Nettoein-kommen Beamter</t>
  </si>
  <si>
    <t>Differenz in Jahres-nettoein-kommen°</t>
  </si>
  <si>
    <t>° Differenz des Lebensarbeitszeitnettoverdienstes in Jahresnettoverdiensten</t>
  </si>
  <si>
    <t>Differenz Stufe 6 zu Stufe 7:</t>
  </si>
  <si>
    <t>- 50% PKV</t>
  </si>
  <si>
    <t>Erfahrungsstufe</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</si>
</sst>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_);_([$€]* \(#,##0.00\);_([$€]* &quot;-&quot;??_);_(@_)"/>
    <numFmt numFmtId="173" formatCode="_-* #,##0.00\ [$€-40A]_-;\-* #,##0.00\ [$€-40A]_-;_-* &quot;-&quot;??\ [$€-40A]_-;_-@_-"/>
    <numFmt numFmtId="174" formatCode="#,##0.00\ [$€-40A]"/>
    <numFmt numFmtId="175" formatCode="#,##0.0"/>
    <numFmt numFmtId="176" formatCode="0.0%"/>
    <numFmt numFmtId="177" formatCode="#,##0.00\ &quot;€&quot;"/>
    <numFmt numFmtId="178" formatCode="0.0"/>
    <numFmt numFmtId="179" formatCode="#,##0.0000"/>
    <numFmt numFmtId="180" formatCode="&quot;Ja&quot;;&quot;Ja&quot;;&quot;Nein&quot;"/>
    <numFmt numFmtId="181" formatCode="&quot;Wahr&quot;;&quot;Wahr&quot;;&quot;Falsch&quot;"/>
    <numFmt numFmtId="182" formatCode="&quot;Ein&quot;;&quot;Ein&quot;;&quot;Aus&quot;"/>
    <numFmt numFmtId="183" formatCode="[$€-2]\ #,##0.00_);[Red]\([$€-2]\ #,##0.00\)"/>
    <numFmt numFmtId="184" formatCode="#,##0.00\ _€"/>
    <numFmt numFmtId="185" formatCode="0.000%"/>
    <numFmt numFmtId="186" formatCode="#,##0.000\ [$€-40A]"/>
    <numFmt numFmtId="187" formatCode="[$-407]dddd\,\ d\.\ mmmm\ yyyy"/>
    <numFmt numFmtId="188" formatCode="#,##0\ [$€-40A]"/>
    <numFmt numFmtId="189" formatCode="#,##0\ &quot;€&quot;"/>
    <numFmt numFmtId="190" formatCode="#,##0_ ;\-#,##0\ "/>
    <numFmt numFmtId="191" formatCode="_-* #,##0.00\ [$€-407]_-;\-* #,##0.00\ [$€-407]_-;_-* &quot;-&quot;??\ [$€-407]_-;_-@_-"/>
  </numFmts>
  <fonts count="140">
    <font>
      <sz val="10"/>
      <name val="Arial"/>
      <family val="0"/>
    </font>
    <font>
      <b/>
      <sz val="10"/>
      <name val="Arial"/>
      <family val="2"/>
    </font>
    <font>
      <sz val="8"/>
      <name val="Arial"/>
      <family val="2"/>
    </font>
    <font>
      <u val="single"/>
      <sz val="10"/>
      <color indexed="12"/>
      <name val="Arial"/>
      <family val="2"/>
    </font>
    <font>
      <sz val="10"/>
      <color indexed="23"/>
      <name val="Arial"/>
      <family val="2"/>
    </font>
    <font>
      <i/>
      <sz val="10"/>
      <color indexed="10"/>
      <name val="Arial"/>
      <family val="2"/>
    </font>
    <font>
      <sz val="8"/>
      <color indexed="23"/>
      <name val="Arial"/>
      <family val="2"/>
    </font>
    <font>
      <b/>
      <sz val="8"/>
      <name val="Arial"/>
      <family val="2"/>
    </font>
    <font>
      <i/>
      <sz val="8"/>
      <color indexed="10"/>
      <name val="Arial"/>
      <family val="2"/>
    </font>
    <font>
      <i/>
      <sz val="10"/>
      <color indexed="62"/>
      <name val="Arial"/>
      <family val="2"/>
    </font>
    <font>
      <i/>
      <sz val="8"/>
      <color indexed="62"/>
      <name val="Arial"/>
      <family val="2"/>
    </font>
    <font>
      <b/>
      <i/>
      <sz val="8"/>
      <color indexed="62"/>
      <name val="Arial"/>
      <family val="2"/>
    </font>
    <font>
      <i/>
      <sz val="6"/>
      <color indexed="62"/>
      <name val="Arial"/>
      <family val="2"/>
    </font>
    <font>
      <i/>
      <sz val="10"/>
      <color indexed="23"/>
      <name val="Arial"/>
      <family val="2"/>
    </font>
    <font>
      <i/>
      <sz val="8"/>
      <color indexed="23"/>
      <name val="Arial"/>
      <family val="2"/>
    </font>
    <font>
      <i/>
      <sz val="6"/>
      <color indexed="23"/>
      <name val="Arial"/>
      <family val="2"/>
    </font>
    <font>
      <b/>
      <i/>
      <sz val="8"/>
      <color indexed="23"/>
      <name val="Arial"/>
      <family val="2"/>
    </font>
    <font>
      <b/>
      <i/>
      <sz val="10"/>
      <color indexed="23"/>
      <name val="Arial"/>
      <family val="2"/>
    </font>
    <font>
      <b/>
      <sz val="11"/>
      <name val="Arial"/>
      <family val="2"/>
    </font>
    <font>
      <b/>
      <sz val="11"/>
      <color indexed="23"/>
      <name val="Arial"/>
      <family val="2"/>
    </font>
    <font>
      <sz val="10"/>
      <color indexed="9"/>
      <name val="Arial"/>
      <family val="2"/>
    </font>
    <font>
      <b/>
      <i/>
      <sz val="8"/>
      <name val="Arial"/>
      <family val="2"/>
    </font>
    <font>
      <sz val="5"/>
      <color indexed="23"/>
      <name val="Arial"/>
      <family val="2"/>
    </font>
    <font>
      <b/>
      <i/>
      <sz val="6"/>
      <name val="Arial"/>
      <family val="2"/>
    </font>
    <font>
      <b/>
      <sz val="6"/>
      <name val="Symbol"/>
      <family val="1"/>
    </font>
    <font>
      <b/>
      <i/>
      <sz val="6"/>
      <color indexed="23"/>
      <name val="Arial"/>
      <family val="2"/>
    </font>
    <font>
      <sz val="6"/>
      <name val="Arial"/>
      <family val="2"/>
    </font>
    <font>
      <sz val="6"/>
      <color indexed="23"/>
      <name val="Arial"/>
      <family val="2"/>
    </font>
    <font>
      <b/>
      <sz val="6"/>
      <name val="Arial"/>
      <family val="2"/>
    </font>
    <font>
      <b/>
      <sz val="6"/>
      <color indexed="23"/>
      <name val="Arial"/>
      <family val="2"/>
    </font>
    <font>
      <i/>
      <sz val="8"/>
      <name val="Arial"/>
      <family val="2"/>
    </font>
    <font>
      <b/>
      <sz val="10"/>
      <color indexed="23"/>
      <name val="Arial"/>
      <family val="2"/>
    </font>
    <font>
      <sz val="10"/>
      <color indexed="21"/>
      <name val="Arial"/>
      <family val="2"/>
    </font>
    <font>
      <b/>
      <sz val="10"/>
      <color indexed="21"/>
      <name val="Arial"/>
      <family val="2"/>
    </font>
    <font>
      <sz val="10"/>
      <color indexed="53"/>
      <name val="Arial"/>
      <family val="2"/>
    </font>
    <font>
      <b/>
      <sz val="10"/>
      <color indexed="53"/>
      <name val="Arial"/>
      <family val="2"/>
    </font>
    <font>
      <sz val="10"/>
      <name val="Symbol"/>
      <family val="1"/>
    </font>
    <font>
      <b/>
      <sz val="10"/>
      <name val="Symbol"/>
      <family val="1"/>
    </font>
    <font>
      <b/>
      <i/>
      <sz val="10"/>
      <color indexed="62"/>
      <name val="Arial"/>
      <family val="2"/>
    </font>
    <font>
      <i/>
      <sz val="8"/>
      <color indexed="23"/>
      <name val="Symbol"/>
      <family val="1"/>
    </font>
    <font>
      <b/>
      <sz val="8"/>
      <color indexed="23"/>
      <name val="Arial"/>
      <family val="2"/>
    </font>
    <font>
      <sz val="8"/>
      <name val="Symbol"/>
      <family val="1"/>
    </font>
    <font>
      <sz val="8"/>
      <color indexed="23"/>
      <name val="Symbol"/>
      <family val="1"/>
    </font>
    <font>
      <u val="single"/>
      <sz val="8"/>
      <color indexed="12"/>
      <name val="Arial"/>
      <family val="2"/>
    </font>
    <font>
      <u val="single"/>
      <sz val="10"/>
      <color indexed="36"/>
      <name val="Arial"/>
      <family val="2"/>
    </font>
    <font>
      <b/>
      <sz val="10"/>
      <color indexed="10"/>
      <name val="Arial"/>
      <family val="2"/>
    </font>
    <font>
      <u val="single"/>
      <sz val="8"/>
      <color indexed="9"/>
      <name val="Arial"/>
      <family val="2"/>
    </font>
    <font>
      <b/>
      <sz val="12"/>
      <name val="Arial"/>
      <family val="2"/>
    </font>
    <font>
      <sz val="12"/>
      <name val="Arial"/>
      <family val="2"/>
    </font>
    <font>
      <b/>
      <i/>
      <sz val="9"/>
      <name val="Arial"/>
      <family val="2"/>
    </font>
    <font>
      <b/>
      <i/>
      <sz val="9"/>
      <color indexed="23"/>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i/>
      <sz val="10"/>
      <color indexed="43"/>
      <name val="Arial"/>
      <family val="2"/>
    </font>
    <font>
      <i/>
      <sz val="10"/>
      <color indexed="22"/>
      <name val="Arial"/>
      <family val="2"/>
    </font>
    <font>
      <i/>
      <sz val="10"/>
      <color indexed="47"/>
      <name val="Arial"/>
      <family val="2"/>
    </font>
    <font>
      <b/>
      <sz val="10"/>
      <color indexed="55"/>
      <name val="Arial"/>
      <family val="2"/>
    </font>
    <font>
      <sz val="10"/>
      <color indexed="55"/>
      <name val="Wingdings"/>
      <family val="0"/>
    </font>
    <font>
      <i/>
      <sz val="10"/>
      <color indexed="55"/>
      <name val="Arial"/>
      <family val="2"/>
    </font>
    <font>
      <b/>
      <sz val="11"/>
      <color indexed="8"/>
      <name val="Arial"/>
      <family val="2"/>
    </font>
    <font>
      <sz val="11"/>
      <color indexed="8"/>
      <name val="Arial"/>
      <family val="2"/>
    </font>
    <font>
      <sz val="2"/>
      <color indexed="8"/>
      <name val="Arial"/>
      <family val="2"/>
    </font>
    <font>
      <sz val="10"/>
      <color indexed="8"/>
      <name val="Arial"/>
      <family val="2"/>
    </font>
    <font>
      <sz val="10"/>
      <color indexed="8"/>
      <name val="Calibri"/>
      <family val="2"/>
    </font>
    <font>
      <b/>
      <sz val="2"/>
      <color indexed="8"/>
      <name val="Arial"/>
      <family val="2"/>
    </font>
    <font>
      <b/>
      <sz val="10"/>
      <color indexed="8"/>
      <name val="Arial"/>
      <family val="2"/>
    </font>
    <font>
      <sz val="9.5"/>
      <color indexed="8"/>
      <name val="Arial"/>
      <family val="2"/>
    </font>
    <font>
      <sz val="7"/>
      <color indexed="8"/>
      <name val="Arial"/>
      <family val="2"/>
    </font>
    <font>
      <b/>
      <sz val="8"/>
      <color indexed="8"/>
      <name val="Arial"/>
      <family val="2"/>
    </font>
    <font>
      <b/>
      <i/>
      <sz val="10"/>
      <color indexed="8"/>
      <name val="Arial"/>
      <family val="2"/>
    </font>
    <font>
      <b/>
      <i/>
      <sz val="8"/>
      <color indexed="8"/>
      <name val="Calibri"/>
      <family val="2"/>
    </font>
    <font>
      <sz val="14.25"/>
      <color indexed="8"/>
      <name val="Arial"/>
      <family val="2"/>
    </font>
    <font>
      <b/>
      <sz val="12.5"/>
      <color indexed="8"/>
      <name val="Arial"/>
      <family val="2"/>
    </font>
    <font>
      <b/>
      <sz val="14"/>
      <color indexed="8"/>
      <name val="Arial"/>
      <family val="2"/>
    </font>
    <font>
      <b/>
      <sz val="12"/>
      <color indexed="52"/>
      <name val="Arial"/>
      <family val="2"/>
    </font>
    <font>
      <b/>
      <sz val="12"/>
      <color indexed="8"/>
      <name val="Arial"/>
      <family val="2"/>
    </font>
    <font>
      <b/>
      <sz val="20"/>
      <color indexed="23"/>
      <name val="Arial"/>
      <family val="2"/>
    </font>
    <font>
      <b/>
      <sz val="23"/>
      <color indexed="23"/>
      <name val="Arial"/>
      <family val="2"/>
    </font>
    <font>
      <b/>
      <sz val="12"/>
      <color indexed="23"/>
      <name val="Arial"/>
      <family val="2"/>
    </font>
    <font>
      <sz val="12"/>
      <color indexed="23"/>
      <name val="Arial"/>
      <family val="2"/>
    </font>
    <font>
      <b/>
      <sz val="12"/>
      <color indexed="57"/>
      <name val="Arial"/>
      <family val="2"/>
    </font>
    <font>
      <b/>
      <i/>
      <sz val="12"/>
      <color indexed="8"/>
      <name val="Arial"/>
      <family val="2"/>
    </font>
    <font>
      <sz val="10.5"/>
      <color indexed="23"/>
      <name val="Arial"/>
      <family val="2"/>
    </font>
    <font>
      <u val="single"/>
      <sz val="10.5"/>
      <color indexed="23"/>
      <name val="Arial"/>
      <family val="2"/>
    </font>
    <font>
      <sz val="10.5"/>
      <color indexed="8"/>
      <name val="Arial"/>
      <family val="2"/>
    </font>
    <font>
      <u val="single"/>
      <sz val="10.5"/>
      <color indexed="8"/>
      <name val="Arial"/>
      <family val="2"/>
    </font>
    <font>
      <i/>
      <sz val="11"/>
      <color indexed="8"/>
      <name val="Calibri"/>
      <family val="2"/>
    </font>
    <font>
      <sz val="9"/>
      <color indexed="8"/>
      <name val="Calibri"/>
      <family val="2"/>
    </font>
    <font>
      <u val="single"/>
      <sz val="9"/>
      <color indexed="30"/>
      <name val="Calibri"/>
      <family val="2"/>
    </font>
    <font>
      <i/>
      <sz val="9"/>
      <color indexed="8"/>
      <name val="Calibri"/>
      <family val="2"/>
    </font>
    <font>
      <sz val="6"/>
      <name val="Courier New"/>
      <family val="3"/>
    </font>
    <font>
      <sz val="6"/>
      <color indexed="23"/>
      <name val="Courier New"/>
      <family val="3"/>
    </font>
    <font>
      <sz val="10"/>
      <name val="Courier New"/>
      <family val="3"/>
    </font>
    <font>
      <sz val="10"/>
      <color indexed="23"/>
      <name val="Courier New"/>
      <family val="3"/>
    </font>
    <font>
      <i/>
      <sz val="6"/>
      <name val="Arial"/>
      <family val="2"/>
    </font>
    <font>
      <b/>
      <sz val="6"/>
      <name val="Courier New"/>
      <family val="3"/>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0" tint="-0.4999699890613556"/>
      <name val="Arial"/>
      <family val="2"/>
    </font>
    <font>
      <i/>
      <sz val="10"/>
      <color theme="0" tint="-0.4999699890613556"/>
      <name val="Arial"/>
      <family val="2"/>
    </font>
    <font>
      <b/>
      <sz val="10"/>
      <color theme="0" tint="-0.4999699890613556"/>
      <name val="Arial"/>
      <family val="2"/>
    </font>
    <font>
      <i/>
      <sz val="10"/>
      <color theme="7" tint="0.5999900102615356"/>
      <name val="Arial"/>
      <family val="2"/>
    </font>
    <font>
      <i/>
      <sz val="10"/>
      <color theme="3" tint="0.5999900102615356"/>
      <name val="Arial"/>
      <family val="2"/>
    </font>
    <font>
      <i/>
      <sz val="10"/>
      <color theme="0" tint="-0.3499799966812134"/>
      <name val="Arial"/>
      <family val="2"/>
    </font>
    <font>
      <i/>
      <sz val="11"/>
      <color theme="1"/>
      <name val="Calibri"/>
      <family val="2"/>
    </font>
    <font>
      <sz val="9"/>
      <color theme="1"/>
      <name val="Calibri"/>
      <family val="2"/>
    </font>
    <font>
      <u val="single"/>
      <sz val="9"/>
      <color theme="10"/>
      <name val="Calibri"/>
      <family val="2"/>
    </font>
    <font>
      <b/>
      <sz val="10"/>
      <color theme="0" tint="-0.3499799966812134"/>
      <name val="Arial"/>
      <family val="2"/>
    </font>
    <font>
      <i/>
      <sz val="10"/>
      <color theme="5" tint="0.39998000860214233"/>
      <name val="Arial"/>
      <family val="2"/>
    </font>
    <font>
      <sz val="10"/>
      <color theme="0" tint="-0.3499799966812134"/>
      <name val="Wingdings"/>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8"/>
        <bgColor indexed="64"/>
      </patternFill>
    </fill>
    <fill>
      <patternFill patternType="solid">
        <fgColor indexed="13"/>
        <bgColor indexed="64"/>
      </patternFill>
    </fill>
    <fill>
      <patternFill patternType="solid">
        <fgColor indexed="51"/>
        <bgColor indexed="64"/>
      </patternFill>
    </fill>
    <fill>
      <patternFill patternType="solid">
        <fgColor indexed="22"/>
        <bgColor indexed="64"/>
      </patternFill>
    </fill>
    <fill>
      <patternFill patternType="solid">
        <fgColor theme="0" tint="-0.04997999966144562"/>
        <bgColor indexed="64"/>
      </patternFill>
    </fill>
    <fill>
      <patternFill patternType="solid">
        <fgColor rgb="FFFFC000"/>
        <bgColor indexed="64"/>
      </patternFill>
    </fill>
    <fill>
      <patternFill patternType="solid">
        <fgColor rgb="FFE5FFE5"/>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double"/>
    </border>
    <border>
      <left style="thin"/>
      <right>
        <color indexed="63"/>
      </right>
      <top style="thin"/>
      <bottom style="double"/>
    </border>
    <border>
      <left>
        <color indexed="63"/>
      </left>
      <right>
        <color indexed="63"/>
      </right>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1" fillId="2" borderId="0" applyNumberFormat="0" applyBorder="0" applyAlignment="0" applyProtection="0"/>
    <xf numFmtId="0" fontId="111" fillId="3" borderId="0" applyNumberFormat="0" applyBorder="0" applyAlignment="0" applyProtection="0"/>
    <xf numFmtId="0" fontId="111" fillId="4" borderId="0" applyNumberFormat="0" applyBorder="0" applyAlignment="0" applyProtection="0"/>
    <xf numFmtId="0" fontId="111" fillId="5" borderId="0" applyNumberFormat="0" applyBorder="0" applyAlignment="0" applyProtection="0"/>
    <xf numFmtId="0" fontId="111" fillId="6" borderId="0" applyNumberFormat="0" applyBorder="0" applyAlignment="0" applyProtection="0"/>
    <xf numFmtId="0" fontId="111" fillId="7" borderId="0" applyNumberFormat="0" applyBorder="0" applyAlignment="0" applyProtection="0"/>
    <xf numFmtId="0" fontId="111" fillId="8" borderId="0" applyNumberFormat="0" applyBorder="0" applyAlignment="0" applyProtection="0"/>
    <xf numFmtId="0" fontId="111" fillId="9" borderId="0" applyNumberFormat="0" applyBorder="0" applyAlignment="0" applyProtection="0"/>
    <xf numFmtId="0" fontId="111" fillId="10" borderId="0" applyNumberFormat="0" applyBorder="0" applyAlignment="0" applyProtection="0"/>
    <xf numFmtId="0" fontId="111" fillId="11" borderId="0" applyNumberFormat="0" applyBorder="0" applyAlignment="0" applyProtection="0"/>
    <xf numFmtId="0" fontId="111" fillId="12" borderId="0" applyNumberFormat="0" applyBorder="0" applyAlignment="0" applyProtection="0"/>
    <xf numFmtId="0" fontId="111" fillId="13" borderId="0" applyNumberFormat="0" applyBorder="0" applyAlignment="0" applyProtection="0"/>
    <xf numFmtId="0" fontId="112" fillId="14" borderId="0" applyNumberFormat="0" applyBorder="0" applyAlignment="0" applyProtection="0"/>
    <xf numFmtId="0" fontId="112" fillId="15" borderId="0" applyNumberFormat="0" applyBorder="0" applyAlignment="0" applyProtection="0"/>
    <xf numFmtId="0" fontId="112" fillId="16" borderId="0" applyNumberFormat="0" applyBorder="0" applyAlignment="0" applyProtection="0"/>
    <xf numFmtId="0" fontId="112" fillId="17" borderId="0" applyNumberFormat="0" applyBorder="0" applyAlignment="0" applyProtection="0"/>
    <xf numFmtId="0" fontId="112" fillId="18" borderId="0" applyNumberFormat="0" applyBorder="0" applyAlignment="0" applyProtection="0"/>
    <xf numFmtId="0" fontId="112" fillId="19" borderId="0" applyNumberFormat="0" applyBorder="0" applyAlignment="0" applyProtection="0"/>
    <xf numFmtId="0" fontId="112" fillId="20" borderId="0" applyNumberFormat="0" applyBorder="0" applyAlignment="0" applyProtection="0"/>
    <xf numFmtId="0" fontId="112" fillId="21" borderId="0" applyNumberFormat="0" applyBorder="0" applyAlignment="0" applyProtection="0"/>
    <xf numFmtId="0" fontId="112" fillId="22" borderId="0" applyNumberFormat="0" applyBorder="0" applyAlignment="0" applyProtection="0"/>
    <xf numFmtId="0" fontId="112" fillId="23" borderId="0" applyNumberFormat="0" applyBorder="0" applyAlignment="0" applyProtection="0"/>
    <xf numFmtId="0" fontId="112" fillId="24" borderId="0" applyNumberFormat="0" applyBorder="0" applyAlignment="0" applyProtection="0"/>
    <xf numFmtId="0" fontId="112" fillId="25" borderId="0" applyNumberFormat="0" applyBorder="0" applyAlignment="0" applyProtection="0"/>
    <xf numFmtId="0" fontId="113" fillId="26" borderId="1" applyNumberFormat="0" applyAlignment="0" applyProtection="0"/>
    <xf numFmtId="0" fontId="114" fillId="26" borderId="2" applyNumberFormat="0" applyAlignment="0" applyProtection="0"/>
    <xf numFmtId="0" fontId="44" fillId="0" borderId="0" applyNumberFormat="0" applyFill="0" applyBorder="0" applyAlignment="0" applyProtection="0"/>
    <xf numFmtId="169" fontId="0" fillId="0" borderId="0" applyFont="0" applyFill="0" applyBorder="0" applyAlignment="0" applyProtection="0"/>
    <xf numFmtId="0" fontId="115" fillId="27" borderId="2" applyNumberFormat="0" applyAlignment="0" applyProtection="0"/>
    <xf numFmtId="0" fontId="116" fillId="0" borderId="3" applyNumberFormat="0" applyFill="0" applyAlignment="0" applyProtection="0"/>
    <xf numFmtId="0" fontId="117" fillId="0" borderId="0" applyNumberFormat="0" applyFill="0" applyBorder="0" applyAlignment="0" applyProtection="0"/>
    <xf numFmtId="172" fontId="0" fillId="0" borderId="0" applyFont="0" applyFill="0" applyBorder="0" applyAlignment="0" applyProtection="0"/>
    <xf numFmtId="0" fontId="118" fillId="28" borderId="0" applyNumberFormat="0" applyBorder="0" applyAlignment="0" applyProtection="0"/>
    <xf numFmtId="171" fontId="0" fillId="0" borderId="0" applyFont="0" applyFill="0" applyBorder="0" applyAlignment="0" applyProtection="0"/>
    <xf numFmtId="0" fontId="3" fillId="0" borderId="0" applyNumberFormat="0" applyFill="0" applyBorder="0" applyAlignment="0" applyProtection="0"/>
    <xf numFmtId="0" fontId="11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120" fillId="31" borderId="0" applyNumberFormat="0" applyBorder="0" applyAlignment="0" applyProtection="0"/>
    <xf numFmtId="0" fontId="121" fillId="0" borderId="0" applyNumberFormat="0" applyFill="0" applyBorder="0" applyAlignment="0" applyProtection="0"/>
    <xf numFmtId="0" fontId="122" fillId="0" borderId="5" applyNumberFormat="0" applyFill="0" applyAlignment="0" applyProtection="0"/>
    <xf numFmtId="0" fontId="123" fillId="0" borderId="6" applyNumberFormat="0" applyFill="0" applyAlignment="0" applyProtection="0"/>
    <xf numFmtId="0" fontId="124" fillId="0" borderId="7" applyNumberFormat="0" applyFill="0" applyAlignment="0" applyProtection="0"/>
    <xf numFmtId="0" fontId="124" fillId="0" borderId="0" applyNumberFormat="0" applyFill="0" applyBorder="0" applyAlignment="0" applyProtection="0"/>
    <xf numFmtId="0" fontId="125"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126" fillId="0" borderId="0" applyNumberFormat="0" applyFill="0" applyBorder="0" applyAlignment="0" applyProtection="0"/>
    <xf numFmtId="0" fontId="127" fillId="32" borderId="9" applyNumberFormat="0" applyAlignment="0" applyProtection="0"/>
  </cellStyleXfs>
  <cellXfs count="467">
    <xf numFmtId="0" fontId="0" fillId="0" borderId="0" xfId="0" applyAlignment="1">
      <alignment/>
    </xf>
    <xf numFmtId="172" fontId="0" fillId="0" borderId="0" xfId="46" applyFont="1" applyAlignment="1">
      <alignment/>
    </xf>
    <xf numFmtId="0" fontId="1" fillId="0" borderId="0" xfId="0" applyFont="1" applyAlignment="1">
      <alignment/>
    </xf>
    <xf numFmtId="172" fontId="0" fillId="0" borderId="0" xfId="46" applyAlignment="1">
      <alignment/>
    </xf>
    <xf numFmtId="172" fontId="1" fillId="0" borderId="0" xfId="46" applyFont="1" applyAlignment="1">
      <alignment/>
    </xf>
    <xf numFmtId="0" fontId="4" fillId="0" borderId="0" xfId="0" applyFont="1" applyAlignment="1">
      <alignment/>
    </xf>
    <xf numFmtId="172" fontId="0" fillId="0" borderId="0" xfId="46" applyFont="1" applyAlignment="1">
      <alignment/>
    </xf>
    <xf numFmtId="172" fontId="5" fillId="0" borderId="0" xfId="46" applyFont="1" applyAlignment="1">
      <alignment/>
    </xf>
    <xf numFmtId="0" fontId="6" fillId="0" borderId="0" xfId="0" applyFont="1" applyAlignment="1">
      <alignment/>
    </xf>
    <xf numFmtId="0" fontId="2" fillId="0" borderId="0" xfId="0" applyFont="1" applyAlignment="1">
      <alignment/>
    </xf>
    <xf numFmtId="172" fontId="2" fillId="0" borderId="0" xfId="46" applyFont="1" applyAlignment="1">
      <alignment/>
    </xf>
    <xf numFmtId="172" fontId="7" fillId="0" borderId="0" xfId="46" applyFont="1" applyAlignment="1">
      <alignment/>
    </xf>
    <xf numFmtId="172" fontId="8" fillId="0" borderId="0" xfId="46" applyFont="1" applyAlignment="1">
      <alignment/>
    </xf>
    <xf numFmtId="0" fontId="6" fillId="0" borderId="0" xfId="0" applyFont="1" applyAlignment="1">
      <alignment horizontal="center" vertical="center"/>
    </xf>
    <xf numFmtId="172" fontId="2" fillId="0" borderId="0" xfId="46" applyFont="1" applyBorder="1" applyAlignment="1">
      <alignment horizontal="center" vertical="center" wrapText="1"/>
    </xf>
    <xf numFmtId="172" fontId="8" fillId="0" borderId="0" xfId="46" applyFont="1" applyAlignment="1">
      <alignment horizontal="center" vertical="center" wrapText="1"/>
    </xf>
    <xf numFmtId="0" fontId="2" fillId="0" borderId="10" xfId="0" applyFont="1" applyBorder="1" applyAlignment="1">
      <alignment/>
    </xf>
    <xf numFmtId="174" fontId="2" fillId="0" borderId="0" xfId="46" applyNumberFormat="1" applyFont="1" applyBorder="1" applyAlignment="1">
      <alignment/>
    </xf>
    <xf numFmtId="174" fontId="7" fillId="0" borderId="11" xfId="46" applyNumberFormat="1" applyFont="1" applyBorder="1" applyAlignment="1">
      <alignment/>
    </xf>
    <xf numFmtId="174" fontId="8" fillId="0" borderId="0" xfId="46" applyNumberFormat="1" applyFont="1" applyAlignment="1">
      <alignment/>
    </xf>
    <xf numFmtId="174" fontId="7" fillId="0" borderId="0" xfId="46" applyNumberFormat="1" applyFont="1" applyBorder="1" applyAlignment="1">
      <alignment/>
    </xf>
    <xf numFmtId="0" fontId="2" fillId="0" borderId="12" xfId="0" applyFont="1" applyBorder="1" applyAlignment="1">
      <alignment/>
    </xf>
    <xf numFmtId="0" fontId="2" fillId="0" borderId="0" xfId="0" applyFont="1" applyAlignment="1">
      <alignment horizontal="right"/>
    </xf>
    <xf numFmtId="172" fontId="2" fillId="0" borderId="0" xfId="46" applyFont="1" applyAlignment="1">
      <alignment/>
    </xf>
    <xf numFmtId="176" fontId="6" fillId="0" borderId="0" xfId="0" applyNumberFormat="1" applyFont="1" applyBorder="1" applyAlignment="1">
      <alignment/>
    </xf>
    <xf numFmtId="172" fontId="8" fillId="0" borderId="0" xfId="46" applyFont="1" applyAlignment="1">
      <alignment horizontal="center" vertical="center"/>
    </xf>
    <xf numFmtId="172" fontId="9" fillId="0" borderId="0" xfId="46" applyFont="1" applyAlignment="1">
      <alignment/>
    </xf>
    <xf numFmtId="172" fontId="10" fillId="0" borderId="0" xfId="46" applyFont="1" applyAlignment="1">
      <alignment/>
    </xf>
    <xf numFmtId="174" fontId="10" fillId="0" borderId="0" xfId="46" applyNumberFormat="1" applyFont="1" applyBorder="1" applyAlignment="1">
      <alignment/>
    </xf>
    <xf numFmtId="174" fontId="11" fillId="0" borderId="0" xfId="46" applyNumberFormat="1" applyFont="1" applyBorder="1" applyAlignment="1">
      <alignment/>
    </xf>
    <xf numFmtId="172" fontId="13" fillId="0" borderId="0" xfId="46" applyFont="1" applyAlignment="1">
      <alignment/>
    </xf>
    <xf numFmtId="172" fontId="14" fillId="0" borderId="0" xfId="46" applyFont="1" applyAlignment="1">
      <alignment/>
    </xf>
    <xf numFmtId="174" fontId="14" fillId="0" borderId="11" xfId="46" applyNumberFormat="1" applyFont="1" applyBorder="1" applyAlignment="1">
      <alignment/>
    </xf>
    <xf numFmtId="174" fontId="2" fillId="0" borderId="0" xfId="46" applyNumberFormat="1" applyFont="1" applyBorder="1" applyAlignment="1">
      <alignment horizontal="left"/>
    </xf>
    <xf numFmtId="0" fontId="18" fillId="0" borderId="0" xfId="0" applyFont="1" applyAlignment="1">
      <alignment/>
    </xf>
    <xf numFmtId="0" fontId="0" fillId="0" borderId="0" xfId="0" applyAlignment="1">
      <alignment horizontal="right"/>
    </xf>
    <xf numFmtId="177" fontId="0" fillId="0" borderId="0" xfId="0" applyNumberFormat="1" applyAlignment="1">
      <alignment/>
    </xf>
    <xf numFmtId="178" fontId="4" fillId="0" borderId="0" xfId="0" applyNumberFormat="1" applyFont="1" applyAlignment="1">
      <alignment/>
    </xf>
    <xf numFmtId="178" fontId="6" fillId="0" borderId="0" xfId="0" applyNumberFormat="1" applyFont="1" applyAlignment="1">
      <alignment/>
    </xf>
    <xf numFmtId="177" fontId="2" fillId="0" borderId="0" xfId="0" applyNumberFormat="1" applyFont="1" applyAlignment="1">
      <alignment/>
    </xf>
    <xf numFmtId="0" fontId="2" fillId="0" borderId="0" xfId="0" applyFont="1" applyAlignment="1">
      <alignment/>
    </xf>
    <xf numFmtId="0" fontId="4" fillId="0" borderId="0" xfId="0" applyFont="1" applyAlignment="1">
      <alignment/>
    </xf>
    <xf numFmtId="174" fontId="1" fillId="0" borderId="0" xfId="0" applyNumberFormat="1" applyFont="1" applyAlignment="1">
      <alignment/>
    </xf>
    <xf numFmtId="0" fontId="19" fillId="0" borderId="0" xfId="0" applyFont="1" applyAlignment="1">
      <alignment/>
    </xf>
    <xf numFmtId="0" fontId="6" fillId="0" borderId="0" xfId="0" applyFont="1" applyAlignment="1">
      <alignment/>
    </xf>
    <xf numFmtId="177" fontId="6" fillId="0" borderId="0" xfId="0" applyNumberFormat="1" applyFont="1" applyAlignment="1">
      <alignment/>
    </xf>
    <xf numFmtId="177" fontId="4" fillId="0" borderId="0" xfId="0" applyNumberFormat="1" applyFont="1" applyAlignment="1">
      <alignment/>
    </xf>
    <xf numFmtId="174" fontId="14" fillId="0" borderId="0" xfId="46" applyNumberFormat="1" applyFont="1" applyBorder="1" applyAlignment="1">
      <alignment/>
    </xf>
    <xf numFmtId="172" fontId="15" fillId="0" borderId="0" xfId="46" applyFont="1" applyBorder="1" applyAlignment="1">
      <alignment horizontal="center" vertical="center" wrapText="1"/>
    </xf>
    <xf numFmtId="174" fontId="16" fillId="0" borderId="0" xfId="46" applyNumberFormat="1" applyFont="1" applyBorder="1" applyAlignment="1">
      <alignment/>
    </xf>
    <xf numFmtId="178" fontId="4" fillId="0" borderId="0" xfId="0" applyNumberFormat="1" applyFont="1" applyAlignment="1">
      <alignment/>
    </xf>
    <xf numFmtId="0" fontId="20" fillId="33" borderId="0" xfId="0" applyFont="1" applyFill="1" applyAlignment="1">
      <alignment/>
    </xf>
    <xf numFmtId="178" fontId="20" fillId="33" borderId="0" xfId="0" applyNumberFormat="1" applyFont="1" applyFill="1" applyAlignment="1">
      <alignment/>
    </xf>
    <xf numFmtId="0" fontId="0" fillId="34" borderId="0" xfId="0" applyFont="1" applyFill="1" applyAlignment="1">
      <alignment/>
    </xf>
    <xf numFmtId="178" fontId="0" fillId="34" borderId="0" xfId="0" applyNumberFormat="1" applyFont="1" applyFill="1" applyAlignment="1">
      <alignment/>
    </xf>
    <xf numFmtId="178" fontId="16" fillId="0" borderId="0" xfId="0" applyNumberFormat="1" applyFont="1" applyAlignment="1">
      <alignment horizontal="left"/>
    </xf>
    <xf numFmtId="0" fontId="6" fillId="0" borderId="0" xfId="0" applyFont="1" applyBorder="1" applyAlignment="1">
      <alignment/>
    </xf>
    <xf numFmtId="178" fontId="21" fillId="0" borderId="0" xfId="0" applyNumberFormat="1" applyFont="1" applyAlignment="1">
      <alignment horizontal="left"/>
    </xf>
    <xf numFmtId="0" fontId="7" fillId="0" borderId="0" xfId="0" applyFont="1" applyBorder="1" applyAlignment="1">
      <alignment horizontal="center" vertical="center" wrapText="1"/>
    </xf>
    <xf numFmtId="0" fontId="2" fillId="0" borderId="12" xfId="0" applyFont="1" applyBorder="1" applyAlignment="1">
      <alignment horizontal="center" vertical="center"/>
    </xf>
    <xf numFmtId="172" fontId="2" fillId="0" borderId="13" xfId="46" applyFont="1" applyBorder="1" applyAlignment="1">
      <alignment horizontal="center" vertical="center" wrapText="1"/>
    </xf>
    <xf numFmtId="172" fontId="7" fillId="0" borderId="14" xfId="46" applyFont="1" applyBorder="1" applyAlignment="1">
      <alignment horizontal="center" vertical="center" wrapText="1"/>
    </xf>
    <xf numFmtId="172" fontId="7" fillId="0" borderId="13" xfId="46" applyFont="1" applyBorder="1" applyAlignment="1">
      <alignment horizontal="center" vertical="center" wrapText="1"/>
    </xf>
    <xf numFmtId="172" fontId="12" fillId="0" borderId="13" xfId="46" applyFont="1" applyBorder="1" applyAlignment="1">
      <alignment horizontal="center" vertical="center" wrapText="1"/>
    </xf>
    <xf numFmtId="172" fontId="15" fillId="0" borderId="14" xfId="46" applyFont="1" applyBorder="1" applyAlignment="1">
      <alignment horizontal="center" vertical="center" wrapText="1"/>
    </xf>
    <xf numFmtId="174" fontId="10" fillId="0" borderId="13" xfId="46" applyNumberFormat="1" applyFont="1" applyBorder="1" applyAlignment="1">
      <alignment/>
    </xf>
    <xf numFmtId="174" fontId="14" fillId="0" borderId="14" xfId="46" applyNumberFormat="1" applyFont="1" applyBorder="1" applyAlignment="1">
      <alignment/>
    </xf>
    <xf numFmtId="0" fontId="6" fillId="0" borderId="0" xfId="0" applyFont="1" applyBorder="1" applyAlignment="1">
      <alignment horizontal="right" vertical="center"/>
    </xf>
    <xf numFmtId="0" fontId="0" fillId="0" borderId="0" xfId="0" applyBorder="1" applyAlignment="1">
      <alignment/>
    </xf>
    <xf numFmtId="0" fontId="0" fillId="0" borderId="0" xfId="0" applyBorder="1" applyAlignment="1">
      <alignment horizontal="center" vertical="center" wrapText="1"/>
    </xf>
    <xf numFmtId="0" fontId="4" fillId="33" borderId="0" xfId="0" applyFont="1" applyFill="1" applyAlignment="1">
      <alignment/>
    </xf>
    <xf numFmtId="0" fontId="0" fillId="33" borderId="0" xfId="0" applyFill="1" applyAlignment="1">
      <alignment/>
    </xf>
    <xf numFmtId="172" fontId="0" fillId="33" borderId="0" xfId="46" applyFont="1" applyFill="1" applyAlignment="1">
      <alignment/>
    </xf>
    <xf numFmtId="172" fontId="1" fillId="33" borderId="0" xfId="46" applyFont="1" applyFill="1" applyAlignment="1">
      <alignment/>
    </xf>
    <xf numFmtId="172" fontId="5" fillId="33" borderId="0" xfId="46" applyFont="1" applyFill="1" applyAlignment="1">
      <alignment/>
    </xf>
    <xf numFmtId="172" fontId="9" fillId="33" borderId="0" xfId="46" applyFont="1" applyFill="1" applyAlignment="1">
      <alignment/>
    </xf>
    <xf numFmtId="172" fontId="0" fillId="33" borderId="0" xfId="46" applyFont="1" applyFill="1" applyBorder="1" applyAlignment="1">
      <alignment/>
    </xf>
    <xf numFmtId="172" fontId="13" fillId="33" borderId="0" xfId="46" applyFont="1" applyFill="1" applyBorder="1" applyAlignment="1">
      <alignment/>
    </xf>
    <xf numFmtId="0" fontId="23" fillId="0" borderId="15"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3" fillId="0" borderId="16" xfId="0" applyFont="1" applyFill="1" applyBorder="1" applyAlignment="1">
      <alignment horizontal="center" vertical="center" wrapText="1"/>
    </xf>
    <xf numFmtId="178" fontId="23" fillId="0" borderId="17" xfId="0" applyNumberFormat="1" applyFont="1" applyFill="1" applyBorder="1" applyAlignment="1">
      <alignment horizontal="center" vertical="center" wrapText="1"/>
    </xf>
    <xf numFmtId="177" fontId="26" fillId="0" borderId="0" xfId="0" applyNumberFormat="1" applyFont="1" applyFill="1" applyBorder="1" applyAlignment="1">
      <alignment/>
    </xf>
    <xf numFmtId="177" fontId="27" fillId="0" borderId="0" xfId="0" applyNumberFormat="1" applyFont="1" applyFill="1" applyBorder="1" applyAlignment="1">
      <alignment/>
    </xf>
    <xf numFmtId="9" fontId="26" fillId="0" borderId="0" xfId="52" applyFont="1" applyFill="1" applyBorder="1" applyAlignment="1">
      <alignment/>
    </xf>
    <xf numFmtId="178" fontId="26" fillId="0" borderId="0" xfId="0" applyNumberFormat="1" applyFont="1" applyFill="1" applyBorder="1" applyAlignment="1">
      <alignment/>
    </xf>
    <xf numFmtId="177" fontId="28" fillId="0" borderId="0" xfId="0" applyNumberFormat="1" applyFont="1" applyFill="1" applyBorder="1" applyAlignment="1">
      <alignment/>
    </xf>
    <xf numFmtId="177" fontId="29" fillId="0" borderId="0" xfId="0" applyNumberFormat="1" applyFont="1" applyFill="1" applyBorder="1" applyAlignment="1">
      <alignment/>
    </xf>
    <xf numFmtId="9" fontId="28" fillId="0" borderId="0" xfId="52" applyFont="1" applyFill="1" applyBorder="1" applyAlignment="1">
      <alignment/>
    </xf>
    <xf numFmtId="178" fontId="28" fillId="0" borderId="0" xfId="0" applyNumberFormat="1" applyFont="1" applyFill="1" applyBorder="1" applyAlignment="1">
      <alignment/>
    </xf>
    <xf numFmtId="0" fontId="2" fillId="0" borderId="0" xfId="0" applyFont="1" applyBorder="1" applyAlignment="1">
      <alignment/>
    </xf>
    <xf numFmtId="172" fontId="2" fillId="0" borderId="0" xfId="46" applyFont="1" applyBorder="1" applyAlignment="1">
      <alignment/>
    </xf>
    <xf numFmtId="172" fontId="7" fillId="0" borderId="0" xfId="46" applyFont="1" applyBorder="1" applyAlignment="1">
      <alignment/>
    </xf>
    <xf numFmtId="172" fontId="10" fillId="0" borderId="0" xfId="46" applyFont="1" applyBorder="1" applyAlignment="1">
      <alignment/>
    </xf>
    <xf numFmtId="0" fontId="2" fillId="0" borderId="0" xfId="0" applyFont="1" applyBorder="1" applyAlignment="1">
      <alignment horizontal="center" vertical="center"/>
    </xf>
    <xf numFmtId="0" fontId="22" fillId="0" borderId="0" xfId="0" applyFont="1" applyBorder="1" applyAlignment="1">
      <alignment horizontal="center" vertical="center" wrapText="1"/>
    </xf>
    <xf numFmtId="172" fontId="7" fillId="0" borderId="0" xfId="46" applyFont="1" applyBorder="1" applyAlignment="1">
      <alignment horizontal="center" vertical="center" wrapText="1"/>
    </xf>
    <xf numFmtId="172" fontId="7" fillId="0" borderId="0" xfId="46" applyFont="1" applyBorder="1" applyAlignment="1">
      <alignment horizontal="center" vertical="center" wrapText="1"/>
    </xf>
    <xf numFmtId="0" fontId="1" fillId="0" borderId="0" xfId="0" applyFont="1" applyBorder="1" applyAlignment="1">
      <alignment horizontal="center" vertical="center"/>
    </xf>
    <xf numFmtId="174" fontId="1" fillId="0" borderId="18" xfId="46" applyNumberFormat="1" applyFont="1" applyBorder="1" applyAlignment="1">
      <alignment/>
    </xf>
    <xf numFmtId="174" fontId="0" fillId="0" borderId="0" xfId="46" applyNumberFormat="1" applyFont="1" applyBorder="1" applyAlignment="1">
      <alignment/>
    </xf>
    <xf numFmtId="0" fontId="36" fillId="0" borderId="0" xfId="0" applyFont="1" applyBorder="1" applyAlignment="1">
      <alignment horizontal="center"/>
    </xf>
    <xf numFmtId="174" fontId="1" fillId="0" borderId="0" xfId="46" applyNumberFormat="1" applyFont="1" applyBorder="1" applyAlignment="1">
      <alignment/>
    </xf>
    <xf numFmtId="174" fontId="9" fillId="0" borderId="0" xfId="46" applyNumberFormat="1" applyFont="1" applyBorder="1" applyAlignment="1">
      <alignment/>
    </xf>
    <xf numFmtId="0" fontId="0" fillId="0" borderId="0" xfId="0" applyFont="1" applyAlignment="1">
      <alignment/>
    </xf>
    <xf numFmtId="0" fontId="37" fillId="0" borderId="19" xfId="0" applyFont="1" applyBorder="1" applyAlignment="1">
      <alignment horizontal="center"/>
    </xf>
    <xf numFmtId="174" fontId="1" fillId="0" borderId="20" xfId="46" applyNumberFormat="1" applyFont="1" applyBorder="1" applyAlignment="1">
      <alignment/>
    </xf>
    <xf numFmtId="0" fontId="6" fillId="0" borderId="0" xfId="0" applyFont="1" applyAlignment="1">
      <alignment horizontal="center" vertical="center" wrapText="1"/>
    </xf>
    <xf numFmtId="0" fontId="31" fillId="0" borderId="0" xfId="0" applyFont="1" applyAlignment="1">
      <alignment/>
    </xf>
    <xf numFmtId="174" fontId="1" fillId="0" borderId="20" xfId="46" applyNumberFormat="1" applyFont="1" applyBorder="1" applyAlignment="1">
      <alignment/>
    </xf>
    <xf numFmtId="174" fontId="1" fillId="0" borderId="0" xfId="46" applyNumberFormat="1" applyFont="1" applyBorder="1" applyAlignment="1">
      <alignment/>
    </xf>
    <xf numFmtId="174" fontId="38" fillId="0" borderId="20" xfId="46" applyNumberFormat="1" applyFont="1" applyBorder="1" applyAlignment="1">
      <alignment/>
    </xf>
    <xf numFmtId="174" fontId="38" fillId="0" borderId="18" xfId="46" applyNumberFormat="1" applyFont="1" applyBorder="1" applyAlignment="1">
      <alignment/>
    </xf>
    <xf numFmtId="174" fontId="17" fillId="0" borderId="0" xfId="46" applyNumberFormat="1" applyFont="1" applyBorder="1" applyAlignment="1">
      <alignment/>
    </xf>
    <xf numFmtId="0" fontId="1" fillId="0" borderId="0" xfId="0" applyFont="1" applyAlignment="1">
      <alignment/>
    </xf>
    <xf numFmtId="0" fontId="1" fillId="33" borderId="0" xfId="0" applyFont="1" applyFill="1" applyAlignment="1">
      <alignment/>
    </xf>
    <xf numFmtId="0" fontId="0" fillId="0" borderId="0" xfId="0" applyFont="1" applyAlignment="1">
      <alignment/>
    </xf>
    <xf numFmtId="0" fontId="0" fillId="0" borderId="0" xfId="0" applyFont="1" applyAlignment="1">
      <alignment/>
    </xf>
    <xf numFmtId="0" fontId="4" fillId="0" borderId="0" xfId="0" applyFont="1" applyAlignment="1">
      <alignment horizontal="right"/>
    </xf>
    <xf numFmtId="0" fontId="31" fillId="0" borderId="0" xfId="0" applyFont="1" applyAlignment="1">
      <alignment horizontal="center"/>
    </xf>
    <xf numFmtId="0" fontId="0" fillId="0" borderId="0" xfId="0" applyFont="1" applyAlignment="1">
      <alignment horizontal="center"/>
    </xf>
    <xf numFmtId="0" fontId="1" fillId="0" borderId="0" xfId="0" applyFont="1" applyAlignment="1">
      <alignment horizontal="center"/>
    </xf>
    <xf numFmtId="0" fontId="1" fillId="0" borderId="0" xfId="0" applyFont="1" applyAlignment="1">
      <alignment horizontal="left"/>
    </xf>
    <xf numFmtId="0" fontId="32" fillId="0" borderId="0" xfId="0" applyFont="1" applyAlignment="1">
      <alignment/>
    </xf>
    <xf numFmtId="0" fontId="32" fillId="0" borderId="0" xfId="0" applyFont="1" applyAlignment="1">
      <alignment horizontal="center"/>
    </xf>
    <xf numFmtId="172" fontId="32" fillId="0" borderId="0" xfId="46" applyFont="1" applyAlignment="1">
      <alignment horizontal="center"/>
    </xf>
    <xf numFmtId="174" fontId="32" fillId="0" borderId="0" xfId="46" applyNumberFormat="1" applyFont="1" applyAlignment="1">
      <alignment horizontal="right"/>
    </xf>
    <xf numFmtId="172" fontId="32" fillId="0" borderId="0" xfId="46" applyFont="1" applyAlignment="1">
      <alignment/>
    </xf>
    <xf numFmtId="172" fontId="33" fillId="0" borderId="0" xfId="46" applyFont="1" applyAlignment="1">
      <alignment horizontal="center"/>
    </xf>
    <xf numFmtId="174" fontId="33" fillId="0" borderId="0" xfId="46" applyNumberFormat="1" applyFont="1" applyAlignment="1">
      <alignment horizontal="right"/>
    </xf>
    <xf numFmtId="172" fontId="33" fillId="0" borderId="0" xfId="46" applyFont="1" applyAlignment="1">
      <alignment/>
    </xf>
    <xf numFmtId="172" fontId="34" fillId="0" borderId="0" xfId="46" applyFont="1" applyAlignment="1">
      <alignment horizontal="center"/>
    </xf>
    <xf numFmtId="174" fontId="34" fillId="0" borderId="0" xfId="46" applyNumberFormat="1" applyFont="1" applyAlignment="1">
      <alignment horizontal="right"/>
    </xf>
    <xf numFmtId="172" fontId="35" fillId="0" borderId="0" xfId="46" applyFont="1" applyAlignment="1">
      <alignment/>
    </xf>
    <xf numFmtId="172" fontId="35" fillId="0" borderId="0" xfId="46" applyFont="1" applyAlignment="1">
      <alignment horizontal="center"/>
    </xf>
    <xf numFmtId="174" fontId="35" fillId="0" borderId="0" xfId="46" applyNumberFormat="1" applyFont="1" applyAlignment="1">
      <alignment horizontal="right"/>
    </xf>
    <xf numFmtId="172" fontId="32" fillId="0" borderId="0" xfId="46" applyFont="1" applyAlignment="1">
      <alignment horizontal="center"/>
    </xf>
    <xf numFmtId="0" fontId="13" fillId="0" borderId="0" xfId="0" applyFont="1" applyAlignment="1">
      <alignment/>
    </xf>
    <xf numFmtId="0" fontId="13" fillId="0" borderId="0" xfId="0" applyFont="1" applyAlignment="1">
      <alignment horizontal="center"/>
    </xf>
    <xf numFmtId="174" fontId="13" fillId="0" borderId="0" xfId="46" applyNumberFormat="1" applyFont="1" applyAlignment="1">
      <alignment horizontal="right"/>
    </xf>
    <xf numFmtId="0" fontId="34" fillId="0" borderId="0" xfId="0" applyFont="1" applyAlignment="1">
      <alignment horizontal="center"/>
    </xf>
    <xf numFmtId="172" fontId="34" fillId="0" borderId="0" xfId="46" applyFont="1" applyAlignment="1">
      <alignment/>
    </xf>
    <xf numFmtId="0" fontId="34" fillId="0" borderId="0" xfId="0" applyFont="1" applyAlignment="1">
      <alignment/>
    </xf>
    <xf numFmtId="174" fontId="13" fillId="0" borderId="0" xfId="0" applyNumberFormat="1" applyFont="1" applyAlignment="1">
      <alignment/>
    </xf>
    <xf numFmtId="174" fontId="34" fillId="0" borderId="0" xfId="46" applyNumberFormat="1" applyFont="1" applyAlignment="1">
      <alignment/>
    </xf>
    <xf numFmtId="0" fontId="7" fillId="0" borderId="0" xfId="0" applyFont="1" applyAlignment="1">
      <alignment horizontal="right"/>
    </xf>
    <xf numFmtId="174" fontId="35" fillId="0" borderId="0" xfId="46" applyNumberFormat="1" applyFont="1" applyAlignment="1">
      <alignment/>
    </xf>
    <xf numFmtId="174" fontId="32" fillId="0" borderId="0" xfId="46" applyNumberFormat="1" applyFont="1" applyAlignment="1">
      <alignment/>
    </xf>
    <xf numFmtId="174" fontId="33" fillId="0" borderId="0" xfId="0" applyNumberFormat="1" applyFont="1" applyAlignment="1">
      <alignment/>
    </xf>
    <xf numFmtId="174" fontId="32" fillId="0" borderId="0" xfId="46" applyNumberFormat="1" applyFont="1" applyAlignment="1">
      <alignment/>
    </xf>
    <xf numFmtId="174" fontId="16" fillId="0" borderId="11" xfId="46" applyNumberFormat="1" applyFont="1" applyBorder="1" applyAlignment="1">
      <alignment/>
    </xf>
    <xf numFmtId="177" fontId="0" fillId="34" borderId="11" xfId="0" applyNumberFormat="1" applyFont="1" applyFill="1" applyBorder="1" applyAlignment="1">
      <alignment/>
    </xf>
    <xf numFmtId="177" fontId="0" fillId="34" borderId="0" xfId="0" applyNumberFormat="1" applyFont="1" applyFill="1" applyBorder="1" applyAlignment="1">
      <alignment/>
    </xf>
    <xf numFmtId="9" fontId="0" fillId="34" borderId="0" xfId="52" applyFont="1" applyFill="1" applyBorder="1" applyAlignment="1">
      <alignment/>
    </xf>
    <xf numFmtId="178" fontId="0" fillId="34" borderId="11" xfId="0" applyNumberFormat="1" applyFont="1" applyFill="1" applyBorder="1" applyAlignment="1">
      <alignment/>
    </xf>
    <xf numFmtId="177" fontId="0" fillId="34" borderId="10" xfId="0" applyNumberFormat="1" applyFont="1" applyFill="1" applyBorder="1" applyAlignment="1">
      <alignment/>
    </xf>
    <xf numFmtId="177" fontId="20" fillId="33" borderId="11" xfId="0" applyNumberFormat="1" applyFont="1" applyFill="1" applyBorder="1" applyAlignment="1">
      <alignment/>
    </xf>
    <xf numFmtId="177" fontId="20" fillId="33" borderId="0" xfId="0" applyNumberFormat="1" applyFont="1" applyFill="1" applyBorder="1" applyAlignment="1">
      <alignment/>
    </xf>
    <xf numFmtId="9" fontId="20" fillId="33" borderId="0" xfId="52" applyFont="1" applyFill="1" applyBorder="1" applyAlignment="1">
      <alignment/>
    </xf>
    <xf numFmtId="178" fontId="20" fillId="33" borderId="11" xfId="0" applyNumberFormat="1" applyFont="1" applyFill="1" applyBorder="1" applyAlignment="1">
      <alignment/>
    </xf>
    <xf numFmtId="177" fontId="20" fillId="33" borderId="10" xfId="0" applyNumberFormat="1" applyFont="1" applyFill="1" applyBorder="1" applyAlignment="1">
      <alignment/>
    </xf>
    <xf numFmtId="0" fontId="14" fillId="0" borderId="0" xfId="0" applyFont="1" applyAlignment="1">
      <alignment/>
    </xf>
    <xf numFmtId="0" fontId="39" fillId="0" borderId="0" xfId="0" applyFont="1" applyAlignment="1">
      <alignment horizontal="right"/>
    </xf>
    <xf numFmtId="177" fontId="14" fillId="0" borderId="0" xfId="46" applyNumberFormat="1" applyFont="1" applyAlignment="1">
      <alignment/>
    </xf>
    <xf numFmtId="177" fontId="14" fillId="0" borderId="0" xfId="0" applyNumberFormat="1" applyFont="1" applyAlignment="1">
      <alignment horizontal="right"/>
    </xf>
    <xf numFmtId="0" fontId="14" fillId="0" borderId="0" xfId="0" applyFont="1" applyAlignment="1">
      <alignment/>
    </xf>
    <xf numFmtId="172" fontId="14" fillId="0" borderId="0" xfId="46" applyFont="1" applyBorder="1" applyAlignment="1">
      <alignment/>
    </xf>
    <xf numFmtId="0" fontId="0" fillId="33" borderId="0" xfId="0" applyFont="1" applyFill="1" applyAlignment="1">
      <alignment horizontal="center"/>
    </xf>
    <xf numFmtId="0" fontId="34" fillId="33" borderId="0" xfId="0" applyFont="1" applyFill="1" applyAlignment="1">
      <alignment/>
    </xf>
    <xf numFmtId="0" fontId="13" fillId="33" borderId="0" xfId="0" applyFont="1" applyFill="1" applyAlignment="1">
      <alignment/>
    </xf>
    <xf numFmtId="0" fontId="32" fillId="33" borderId="0" xfId="0" applyFont="1" applyFill="1" applyAlignment="1">
      <alignment/>
    </xf>
    <xf numFmtId="172" fontId="34" fillId="33" borderId="0" xfId="46" applyFont="1" applyFill="1" applyAlignment="1">
      <alignment/>
    </xf>
    <xf numFmtId="172" fontId="32" fillId="33" borderId="0" xfId="46" applyFont="1" applyFill="1" applyAlignment="1">
      <alignment/>
    </xf>
    <xf numFmtId="172" fontId="35" fillId="33" borderId="0" xfId="46" applyFont="1" applyFill="1" applyAlignment="1">
      <alignment/>
    </xf>
    <xf numFmtId="172" fontId="33" fillId="33" borderId="0" xfId="46" applyFont="1" applyFill="1" applyAlignment="1">
      <alignment/>
    </xf>
    <xf numFmtId="0" fontId="32" fillId="33" borderId="0" xfId="0" applyFont="1" applyFill="1" applyAlignment="1">
      <alignment horizontal="center"/>
    </xf>
    <xf numFmtId="0" fontId="0" fillId="33" borderId="0" xfId="0" applyFill="1" applyAlignment="1">
      <alignment horizontal="right"/>
    </xf>
    <xf numFmtId="0" fontId="4" fillId="33" borderId="0" xfId="0" applyFont="1" applyFill="1" applyAlignment="1">
      <alignment horizontal="right"/>
    </xf>
    <xf numFmtId="0" fontId="31" fillId="33" borderId="0" xfId="0" applyFont="1" applyFill="1" applyAlignment="1">
      <alignment horizontal="right"/>
    </xf>
    <xf numFmtId="174" fontId="4" fillId="33" borderId="0" xfId="0" applyNumberFormat="1" applyFont="1" applyFill="1" applyAlignment="1">
      <alignment horizontal="right"/>
    </xf>
    <xf numFmtId="0" fontId="4" fillId="0" borderId="0" xfId="0" applyFont="1" applyBorder="1" applyAlignment="1">
      <alignment/>
    </xf>
    <xf numFmtId="178" fontId="4" fillId="0" borderId="0" xfId="0" applyNumberFormat="1" applyFont="1" applyBorder="1" applyAlignment="1">
      <alignment/>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178" fontId="23" fillId="0" borderId="0" xfId="0" applyNumberFormat="1" applyFont="1" applyFill="1" applyBorder="1" applyAlignment="1">
      <alignment horizontal="center" vertical="center" wrapText="1"/>
    </xf>
    <xf numFmtId="0" fontId="26" fillId="0" borderId="0" xfId="0" applyFont="1" applyFill="1" applyBorder="1" applyAlignment="1">
      <alignment/>
    </xf>
    <xf numFmtId="0" fontId="28" fillId="0" borderId="0" xfId="0" applyFont="1" applyFill="1" applyBorder="1" applyAlignment="1">
      <alignment/>
    </xf>
    <xf numFmtId="0" fontId="1" fillId="0" borderId="0" xfId="0" applyFont="1" applyBorder="1" applyAlignment="1">
      <alignment/>
    </xf>
    <xf numFmtId="0" fontId="28" fillId="0" borderId="0" xfId="0" applyFont="1" applyFill="1" applyBorder="1" applyAlignment="1">
      <alignment wrapText="1"/>
    </xf>
    <xf numFmtId="0" fontId="30" fillId="0" borderId="0" xfId="0" applyFont="1" applyFill="1" applyBorder="1" applyAlignment="1">
      <alignment/>
    </xf>
    <xf numFmtId="178" fontId="21" fillId="0" borderId="0" xfId="0" applyNumberFormat="1" applyFont="1" applyBorder="1" applyAlignment="1">
      <alignment horizontal="left"/>
    </xf>
    <xf numFmtId="178" fontId="16" fillId="0" borderId="0" xfId="0" applyNumberFormat="1" applyFont="1" applyBorder="1" applyAlignment="1">
      <alignment horizontal="left"/>
    </xf>
    <xf numFmtId="0" fontId="4" fillId="0" borderId="0" xfId="0" applyFont="1" applyBorder="1" applyAlignment="1">
      <alignment/>
    </xf>
    <xf numFmtId="0" fontId="3" fillId="0" borderId="0" xfId="49" applyAlignment="1" applyProtection="1">
      <alignment/>
      <protection/>
    </xf>
    <xf numFmtId="0" fontId="0" fillId="0" borderId="0" xfId="0" applyFont="1" applyFill="1" applyBorder="1" applyAlignment="1">
      <alignment/>
    </xf>
    <xf numFmtId="0" fontId="30" fillId="0" borderId="0" xfId="0" applyFont="1" applyFill="1" applyBorder="1" applyAlignment="1">
      <alignment horizontal="right"/>
    </xf>
    <xf numFmtId="0" fontId="0" fillId="0" borderId="0" xfId="0" applyFill="1" applyAlignment="1">
      <alignment/>
    </xf>
    <xf numFmtId="0" fontId="31" fillId="0" borderId="0" xfId="0" applyFont="1" applyAlignment="1">
      <alignment/>
    </xf>
    <xf numFmtId="49" fontId="7" fillId="0" borderId="21" xfId="46" applyNumberFormat="1" applyFont="1" applyBorder="1" applyAlignment="1">
      <alignment horizontal="right" vertical="center" wrapText="1"/>
    </xf>
    <xf numFmtId="49" fontId="2" fillId="0" borderId="22" xfId="46" applyNumberFormat="1" applyFont="1" applyBorder="1" applyAlignment="1">
      <alignment horizontal="center" vertical="center" wrapText="1"/>
    </xf>
    <xf numFmtId="49" fontId="40" fillId="0" borderId="22" xfId="46" applyNumberFormat="1" applyFont="1" applyBorder="1" applyAlignment="1">
      <alignment horizontal="center" vertical="center" wrapText="1"/>
    </xf>
    <xf numFmtId="49" fontId="7" fillId="0" borderId="23" xfId="46" applyNumberFormat="1" applyFont="1" applyBorder="1" applyAlignment="1">
      <alignment horizontal="center" vertical="center" wrapText="1"/>
    </xf>
    <xf numFmtId="49" fontId="7" fillId="0" borderId="0" xfId="46" applyNumberFormat="1" applyFont="1" applyBorder="1" applyAlignment="1">
      <alignment horizontal="center" vertical="center" wrapText="1"/>
    </xf>
    <xf numFmtId="0" fontId="0" fillId="0" borderId="10" xfId="0" applyFill="1" applyBorder="1" applyAlignment="1">
      <alignment/>
    </xf>
    <xf numFmtId="174" fontId="0" fillId="0" borderId="0" xfId="0" applyNumberFormat="1" applyBorder="1" applyAlignment="1">
      <alignment/>
    </xf>
    <xf numFmtId="174" fontId="31" fillId="0" borderId="0" xfId="0" applyNumberFormat="1" applyFont="1" applyBorder="1" applyAlignment="1">
      <alignment/>
    </xf>
    <xf numFmtId="174" fontId="1" fillId="0" borderId="11" xfId="0" applyNumberFormat="1" applyFont="1" applyBorder="1" applyAlignment="1">
      <alignment/>
    </xf>
    <xf numFmtId="174" fontId="1" fillId="0" borderId="0" xfId="0" applyNumberFormat="1" applyFont="1" applyBorder="1" applyAlignment="1">
      <alignment/>
    </xf>
    <xf numFmtId="0" fontId="7" fillId="0" borderId="10" xfId="0" applyFont="1" applyFill="1" applyBorder="1" applyAlignment="1">
      <alignment/>
    </xf>
    <xf numFmtId="0" fontId="37" fillId="0" borderId="21" xfId="0" applyFont="1" applyFill="1" applyBorder="1" applyAlignment="1">
      <alignment horizontal="right"/>
    </xf>
    <xf numFmtId="174" fontId="1" fillId="0" borderId="22" xfId="0" applyNumberFormat="1" applyFont="1" applyBorder="1" applyAlignment="1">
      <alignment/>
    </xf>
    <xf numFmtId="174" fontId="31" fillId="0" borderId="22" xfId="0" applyNumberFormat="1" applyFont="1" applyBorder="1" applyAlignment="1">
      <alignment/>
    </xf>
    <xf numFmtId="174" fontId="31" fillId="0" borderId="23" xfId="0" applyNumberFormat="1" applyFont="1" applyBorder="1" applyAlignment="1">
      <alignment/>
    </xf>
    <xf numFmtId="174" fontId="1" fillId="0" borderId="23" xfId="0" applyNumberFormat="1" applyFont="1" applyBorder="1" applyAlignment="1">
      <alignment/>
    </xf>
    <xf numFmtId="0" fontId="7" fillId="0" borderId="0" xfId="0" applyFont="1" applyAlignment="1">
      <alignment/>
    </xf>
    <xf numFmtId="0" fontId="40" fillId="0" borderId="0" xfId="0" applyFont="1" applyAlignment="1">
      <alignment/>
    </xf>
    <xf numFmtId="0" fontId="2" fillId="0" borderId="0" xfId="0" applyFont="1" applyFill="1" applyAlignment="1">
      <alignment horizontal="left"/>
    </xf>
    <xf numFmtId="174" fontId="14" fillId="0" borderId="0" xfId="0" applyNumberFormat="1" applyFont="1" applyAlignment="1">
      <alignment/>
    </xf>
    <xf numFmtId="10" fontId="0" fillId="0" borderId="0" xfId="52" applyNumberFormat="1" applyFont="1" applyAlignment="1">
      <alignment vertical="top"/>
    </xf>
    <xf numFmtId="185" fontId="0" fillId="0" borderId="0" xfId="52" applyNumberFormat="1" applyFont="1" applyAlignment="1">
      <alignment vertical="top"/>
    </xf>
    <xf numFmtId="174" fontId="0" fillId="0" borderId="10" xfId="0" applyNumberFormat="1" applyFont="1" applyBorder="1" applyAlignment="1">
      <alignment/>
    </xf>
    <xf numFmtId="174" fontId="13" fillId="0" borderId="11" xfId="0" applyNumberFormat="1" applyFont="1" applyBorder="1" applyAlignment="1">
      <alignment/>
    </xf>
    <xf numFmtId="174" fontId="1" fillId="0" borderId="24" xfId="0" applyNumberFormat="1" applyFont="1" applyBorder="1" applyAlignment="1">
      <alignment/>
    </xf>
    <xf numFmtId="49" fontId="2" fillId="0" borderId="21" xfId="46" applyNumberFormat="1" applyFont="1" applyBorder="1" applyAlignment="1">
      <alignment horizontal="center" vertical="center" wrapText="1"/>
    </xf>
    <xf numFmtId="49" fontId="14" fillId="0" borderId="23" xfId="46" applyNumberFormat="1" applyFont="1" applyBorder="1" applyAlignment="1">
      <alignment horizontal="center" vertical="center" wrapText="1"/>
    </xf>
    <xf numFmtId="49" fontId="2" fillId="0" borderId="21" xfId="46" applyNumberFormat="1" applyFont="1" applyBorder="1" applyAlignment="1">
      <alignment horizontal="center" vertical="center" wrapText="1"/>
    </xf>
    <xf numFmtId="174" fontId="0" fillId="0" borderId="10" xfId="0" applyNumberFormat="1" applyBorder="1" applyAlignment="1">
      <alignment/>
    </xf>
    <xf numFmtId="174" fontId="1" fillId="0" borderId="21" xfId="0" applyNumberFormat="1" applyFont="1" applyBorder="1" applyAlignment="1">
      <alignment/>
    </xf>
    <xf numFmtId="0" fontId="0" fillId="0" borderId="0" xfId="0" applyFont="1" applyFill="1" applyAlignment="1">
      <alignment/>
    </xf>
    <xf numFmtId="0" fontId="30" fillId="0" borderId="0" xfId="0" applyFont="1" applyFill="1" applyAlignment="1">
      <alignment/>
    </xf>
    <xf numFmtId="174" fontId="31" fillId="0" borderId="11" xfId="0" applyNumberFormat="1" applyFont="1" applyBorder="1" applyAlignment="1">
      <alignment/>
    </xf>
    <xf numFmtId="49" fontId="40" fillId="0" borderId="23" xfId="46" applyNumberFormat="1" applyFont="1" applyBorder="1" applyAlignment="1">
      <alignment horizontal="center" vertical="center" wrapText="1"/>
    </xf>
    <xf numFmtId="10" fontId="4" fillId="0" borderId="0" xfId="52" applyNumberFormat="1" applyFont="1" applyAlignment="1">
      <alignment vertical="top"/>
    </xf>
    <xf numFmtId="174" fontId="31" fillId="0" borderId="22" xfId="0" applyNumberFormat="1" applyFont="1" applyBorder="1" applyAlignment="1">
      <alignment/>
    </xf>
    <xf numFmtId="49" fontId="41" fillId="0" borderId="22" xfId="46" applyNumberFormat="1" applyFont="1" applyBorder="1" applyAlignment="1">
      <alignment horizontal="center" vertical="center" wrapText="1"/>
    </xf>
    <xf numFmtId="49" fontId="42" fillId="0" borderId="22" xfId="46" applyNumberFormat="1" applyFont="1" applyBorder="1" applyAlignment="1">
      <alignment horizontal="center" vertical="center" wrapText="1"/>
    </xf>
    <xf numFmtId="49" fontId="41" fillId="0" borderId="0" xfId="46" applyNumberFormat="1" applyFont="1" applyBorder="1" applyAlignment="1">
      <alignment horizontal="right" vertical="center"/>
    </xf>
    <xf numFmtId="49" fontId="41" fillId="0" borderId="0" xfId="46" applyNumberFormat="1" applyFont="1" applyBorder="1" applyAlignment="1">
      <alignment horizontal="left" vertical="center"/>
    </xf>
    <xf numFmtId="0" fontId="0" fillId="0" borderId="0" xfId="0" applyAlignment="1">
      <alignment/>
    </xf>
    <xf numFmtId="0" fontId="43" fillId="0" borderId="0" xfId="49" applyFont="1" applyAlignment="1" applyProtection="1">
      <alignment/>
      <protection/>
    </xf>
    <xf numFmtId="174" fontId="0" fillId="0" borderId="0" xfId="0" applyNumberFormat="1" applyAlignment="1">
      <alignment/>
    </xf>
    <xf numFmtId="177" fontId="14" fillId="0" borderId="0" xfId="46" applyNumberFormat="1" applyFont="1" applyAlignment="1">
      <alignment horizontal="right"/>
    </xf>
    <xf numFmtId="0" fontId="0" fillId="0" borderId="0" xfId="46" applyNumberFormat="1" applyFont="1" applyAlignment="1">
      <alignment horizontal="right"/>
    </xf>
    <xf numFmtId="0" fontId="0" fillId="35" borderId="0" xfId="0" applyFill="1" applyAlignment="1">
      <alignment/>
    </xf>
    <xf numFmtId="0" fontId="4" fillId="35" borderId="0" xfId="0" applyFont="1" applyFill="1" applyAlignment="1">
      <alignment/>
    </xf>
    <xf numFmtId="0" fontId="35" fillId="0" borderId="0" xfId="0" applyFont="1" applyAlignment="1">
      <alignment horizontal="center"/>
    </xf>
    <xf numFmtId="0" fontId="1" fillId="0" borderId="0" xfId="0" applyFont="1" applyAlignment="1">
      <alignment horizontal="right"/>
    </xf>
    <xf numFmtId="177" fontId="0" fillId="36" borderId="11" xfId="0" applyNumberFormat="1" applyFont="1" applyFill="1" applyBorder="1" applyAlignment="1">
      <alignment/>
    </xf>
    <xf numFmtId="177" fontId="0" fillId="36" borderId="0" xfId="0" applyNumberFormat="1" applyFont="1" applyFill="1" applyBorder="1" applyAlignment="1">
      <alignment/>
    </xf>
    <xf numFmtId="9" fontId="0" fillId="36" borderId="0" xfId="52" applyFont="1" applyFill="1" applyBorder="1" applyAlignment="1">
      <alignment/>
    </xf>
    <xf numFmtId="178" fontId="0" fillId="36" borderId="11" xfId="0" applyNumberFormat="1" applyFont="1" applyFill="1" applyBorder="1" applyAlignment="1">
      <alignment/>
    </xf>
    <xf numFmtId="177" fontId="0" fillId="36" borderId="10" xfId="0" applyNumberFormat="1" applyFont="1" applyFill="1" applyBorder="1" applyAlignment="1">
      <alignment/>
    </xf>
    <xf numFmtId="0" fontId="0" fillId="0" borderId="0" xfId="0" applyFont="1" applyFill="1" applyAlignment="1">
      <alignment/>
    </xf>
    <xf numFmtId="0" fontId="0" fillId="36" borderId="0" xfId="0" applyFont="1" applyFill="1" applyAlignment="1">
      <alignment/>
    </xf>
    <xf numFmtId="178" fontId="0" fillId="36" borderId="0" xfId="0" applyNumberFormat="1" applyFont="1" applyFill="1" applyAlignment="1">
      <alignment/>
    </xf>
    <xf numFmtId="0" fontId="0" fillId="36" borderId="0" xfId="0" applyFill="1" applyAlignment="1">
      <alignment/>
    </xf>
    <xf numFmtId="0" fontId="1" fillId="36" borderId="0" xfId="0" applyFont="1" applyFill="1" applyAlignment="1">
      <alignment/>
    </xf>
    <xf numFmtId="0" fontId="4" fillId="36" borderId="0" xfId="0" applyFont="1" applyFill="1" applyAlignment="1">
      <alignment/>
    </xf>
    <xf numFmtId="172" fontId="0" fillId="36" borderId="0" xfId="46" applyFill="1" applyAlignment="1">
      <alignment/>
    </xf>
    <xf numFmtId="172" fontId="0" fillId="36" borderId="0" xfId="46" applyFont="1" applyFill="1" applyAlignment="1">
      <alignment/>
    </xf>
    <xf numFmtId="172" fontId="1" fillId="36" borderId="0" xfId="46" applyFont="1" applyFill="1" applyAlignment="1">
      <alignment/>
    </xf>
    <xf numFmtId="172" fontId="5" fillId="36" borderId="0" xfId="46" applyFont="1" applyFill="1" applyAlignment="1">
      <alignment/>
    </xf>
    <xf numFmtId="172" fontId="9" fillId="36" borderId="0" xfId="46" applyFont="1" applyFill="1" applyAlignment="1">
      <alignment/>
    </xf>
    <xf numFmtId="172" fontId="0" fillId="36" borderId="0" xfId="46" applyFont="1" applyFill="1" applyBorder="1" applyAlignment="1">
      <alignment/>
    </xf>
    <xf numFmtId="172" fontId="9" fillId="36" borderId="0" xfId="46" applyFont="1" applyFill="1" applyBorder="1" applyAlignment="1">
      <alignment/>
    </xf>
    <xf numFmtId="172" fontId="13" fillId="36" borderId="0" xfId="46" applyFont="1" applyFill="1" applyBorder="1" applyAlignment="1">
      <alignment/>
    </xf>
    <xf numFmtId="172" fontId="0" fillId="33" borderId="0" xfId="46" applyFont="1" applyFill="1" applyAlignment="1">
      <alignment/>
    </xf>
    <xf numFmtId="0" fontId="0" fillId="35" borderId="0" xfId="0" applyFont="1" applyFill="1" applyAlignment="1">
      <alignment/>
    </xf>
    <xf numFmtId="172" fontId="0" fillId="35" borderId="0" xfId="46" applyFill="1" applyAlignment="1">
      <alignment/>
    </xf>
    <xf numFmtId="172" fontId="0" fillId="35" borderId="0" xfId="46" applyFont="1" applyFill="1" applyAlignment="1">
      <alignment/>
    </xf>
    <xf numFmtId="172" fontId="1" fillId="35" borderId="0" xfId="46" applyFont="1" applyFill="1" applyAlignment="1">
      <alignment/>
    </xf>
    <xf numFmtId="172" fontId="5" fillId="35" borderId="0" xfId="46" applyFont="1" applyFill="1" applyAlignment="1">
      <alignment/>
    </xf>
    <xf numFmtId="0" fontId="0" fillId="35" borderId="0" xfId="0" applyFill="1" applyBorder="1" applyAlignment="1">
      <alignment/>
    </xf>
    <xf numFmtId="172" fontId="0" fillId="35" borderId="0" xfId="46" applyFill="1" applyBorder="1" applyAlignment="1">
      <alignment/>
    </xf>
    <xf numFmtId="172" fontId="1" fillId="35" borderId="0" xfId="46" applyFont="1" applyFill="1" applyBorder="1" applyAlignment="1">
      <alignment/>
    </xf>
    <xf numFmtId="172" fontId="9" fillId="35" borderId="0" xfId="46" applyFont="1" applyFill="1" applyBorder="1" applyAlignment="1">
      <alignment/>
    </xf>
    <xf numFmtId="172" fontId="0" fillId="35" borderId="0" xfId="46" applyFont="1" applyFill="1" applyBorder="1" applyAlignment="1">
      <alignment/>
    </xf>
    <xf numFmtId="0" fontId="34" fillId="35" borderId="0" xfId="0" applyFont="1" applyFill="1" applyAlignment="1">
      <alignment/>
    </xf>
    <xf numFmtId="0" fontId="32" fillId="35" borderId="0" xfId="0" applyFont="1" applyFill="1" applyAlignment="1">
      <alignment/>
    </xf>
    <xf numFmtId="172" fontId="0" fillId="35" borderId="0" xfId="46" applyFont="1" applyFill="1" applyAlignment="1">
      <alignment/>
    </xf>
    <xf numFmtId="0" fontId="1" fillId="35" borderId="0" xfId="0" applyFont="1" applyFill="1" applyAlignment="1">
      <alignment/>
    </xf>
    <xf numFmtId="174" fontId="3" fillId="0" borderId="0" xfId="49" applyNumberFormat="1" applyAlignment="1" applyProtection="1">
      <alignment/>
      <protection/>
    </xf>
    <xf numFmtId="0" fontId="32" fillId="0" borderId="0" xfId="0" applyFont="1" applyAlignment="1">
      <alignment horizontal="right"/>
    </xf>
    <xf numFmtId="0" fontId="45" fillId="0" borderId="0" xfId="0" applyFont="1" applyAlignment="1">
      <alignment/>
    </xf>
    <xf numFmtId="0" fontId="34" fillId="0" borderId="16" xfId="0" applyFont="1" applyBorder="1" applyAlignment="1">
      <alignment horizontal="center"/>
    </xf>
    <xf numFmtId="0" fontId="32" fillId="0" borderId="16" xfId="0" applyFont="1" applyBorder="1" applyAlignment="1">
      <alignment horizontal="center"/>
    </xf>
    <xf numFmtId="172" fontId="34" fillId="0" borderId="16" xfId="46" applyFont="1" applyBorder="1" applyAlignment="1">
      <alignment horizontal="center"/>
    </xf>
    <xf numFmtId="172" fontId="32" fillId="0" borderId="16" xfId="46" applyFont="1" applyBorder="1" applyAlignment="1">
      <alignment horizontal="center"/>
    </xf>
    <xf numFmtId="172" fontId="34" fillId="0" borderId="0" xfId="46" applyFont="1" applyBorder="1" applyAlignment="1">
      <alignment horizontal="center"/>
    </xf>
    <xf numFmtId="172" fontId="32" fillId="0" borderId="0" xfId="46" applyFont="1" applyBorder="1" applyAlignment="1">
      <alignment horizontal="center"/>
    </xf>
    <xf numFmtId="0" fontId="34" fillId="0" borderId="0" xfId="0" applyFont="1" applyBorder="1" applyAlignment="1">
      <alignment horizontal="center"/>
    </xf>
    <xf numFmtId="0" fontId="32" fillId="0" borderId="0" xfId="0" applyFont="1" applyBorder="1" applyAlignment="1">
      <alignment horizontal="center"/>
    </xf>
    <xf numFmtId="172" fontId="35" fillId="0" borderId="15" xfId="46" applyFont="1" applyBorder="1" applyAlignment="1">
      <alignment horizontal="center"/>
    </xf>
    <xf numFmtId="172" fontId="33" fillId="0" borderId="17" xfId="46" applyFont="1" applyBorder="1" applyAlignment="1">
      <alignment horizontal="center"/>
    </xf>
    <xf numFmtId="172" fontId="35" fillId="0" borderId="10" xfId="46" applyFont="1" applyBorder="1" applyAlignment="1">
      <alignment horizontal="center"/>
    </xf>
    <xf numFmtId="172" fontId="33" fillId="0" borderId="11" xfId="46" applyFont="1" applyBorder="1" applyAlignment="1">
      <alignment horizontal="center"/>
    </xf>
    <xf numFmtId="174" fontId="0" fillId="0" borderId="0" xfId="46" applyNumberFormat="1" applyAlignment="1">
      <alignment/>
    </xf>
    <xf numFmtId="0" fontId="0" fillId="0" borderId="0" xfId="0" applyAlignment="1" quotePrefix="1">
      <alignment/>
    </xf>
    <xf numFmtId="9" fontId="0" fillId="0" borderId="0" xfId="0" applyNumberFormat="1" applyAlignment="1">
      <alignment/>
    </xf>
    <xf numFmtId="178" fontId="0" fillId="0" borderId="0" xfId="0" applyNumberFormat="1" applyAlignment="1">
      <alignment/>
    </xf>
    <xf numFmtId="0" fontId="43" fillId="0" borderId="0" xfId="49" applyFont="1" applyAlignment="1" applyProtection="1">
      <alignment horizontal="left"/>
      <protection/>
    </xf>
    <xf numFmtId="174" fontId="1" fillId="0" borderId="0" xfId="46" applyNumberFormat="1" applyFont="1" applyAlignment="1">
      <alignment/>
    </xf>
    <xf numFmtId="0" fontId="0" fillId="0" borderId="0" xfId="0" applyFont="1" applyAlignment="1">
      <alignment horizontal="left"/>
    </xf>
    <xf numFmtId="0" fontId="128" fillId="0" borderId="0" xfId="0" applyFont="1" applyAlignment="1">
      <alignment/>
    </xf>
    <xf numFmtId="1" fontId="128" fillId="0" borderId="0" xfId="0" applyNumberFormat="1" applyFont="1" applyAlignment="1">
      <alignment/>
    </xf>
    <xf numFmtId="1" fontId="128" fillId="0" borderId="0" xfId="46" applyNumberFormat="1" applyFont="1" applyAlignment="1">
      <alignment/>
    </xf>
    <xf numFmtId="8" fontId="128" fillId="0" borderId="0" xfId="0" applyNumberFormat="1" applyFont="1" applyAlignment="1">
      <alignment/>
    </xf>
    <xf numFmtId="0" fontId="128" fillId="0" borderId="0" xfId="0" applyFont="1" applyAlignment="1">
      <alignment horizontal="right"/>
    </xf>
    <xf numFmtId="174" fontId="34" fillId="37" borderId="0" xfId="46" applyNumberFormat="1" applyFont="1" applyFill="1" applyBorder="1" applyAlignment="1">
      <alignment horizontal="right"/>
    </xf>
    <xf numFmtId="0" fontId="13" fillId="0" borderId="0" xfId="0" applyFont="1" applyAlignment="1">
      <alignment horizontal="right"/>
    </xf>
    <xf numFmtId="172" fontId="129" fillId="0" borderId="0" xfId="46" applyFont="1" applyAlignment="1">
      <alignment/>
    </xf>
    <xf numFmtId="172" fontId="129" fillId="0" borderId="0" xfId="46" applyFont="1" applyAlignment="1">
      <alignment horizontal="left"/>
    </xf>
    <xf numFmtId="0" fontId="43" fillId="0" borderId="0" xfId="49" applyFont="1" applyFill="1" applyAlignment="1" applyProtection="1">
      <alignment/>
      <protection/>
    </xf>
    <xf numFmtId="0" fontId="1" fillId="0" borderId="20" xfId="0" applyFont="1" applyBorder="1" applyAlignment="1">
      <alignment horizontal="right"/>
    </xf>
    <xf numFmtId="0" fontId="0" fillId="0" borderId="0" xfId="0" applyFont="1" applyAlignment="1">
      <alignment horizontal="right"/>
    </xf>
    <xf numFmtId="0" fontId="34" fillId="0" borderId="0" xfId="0" applyFont="1" applyAlignment="1">
      <alignment/>
    </xf>
    <xf numFmtId="174" fontId="34" fillId="37" borderId="0" xfId="46" applyNumberFormat="1" applyFont="1" applyFill="1" applyAlignment="1">
      <alignment/>
    </xf>
    <xf numFmtId="174" fontId="32" fillId="37" borderId="0" xfId="46" applyNumberFormat="1" applyFont="1" applyFill="1" applyAlignment="1">
      <alignment/>
    </xf>
    <xf numFmtId="8" fontId="128" fillId="37" borderId="0" xfId="0" applyNumberFormat="1" applyFont="1" applyFill="1" applyAlignment="1">
      <alignment/>
    </xf>
    <xf numFmtId="172" fontId="128" fillId="37" borderId="0" xfId="46" applyFont="1" applyFill="1" applyAlignment="1">
      <alignment/>
    </xf>
    <xf numFmtId="0" fontId="130" fillId="0" borderId="0" xfId="0" applyFont="1" applyAlignment="1">
      <alignment/>
    </xf>
    <xf numFmtId="174" fontId="33" fillId="37" borderId="11" xfId="46" applyNumberFormat="1" applyFont="1" applyFill="1" applyBorder="1" applyAlignment="1">
      <alignment horizontal="right"/>
    </xf>
    <xf numFmtId="174" fontId="34" fillId="0" borderId="0" xfId="46" applyNumberFormat="1" applyFont="1" applyFill="1" applyBorder="1" applyAlignment="1">
      <alignment horizontal="right"/>
    </xf>
    <xf numFmtId="174" fontId="32" fillId="0" borderId="0" xfId="46" applyNumberFormat="1" applyFont="1" applyFill="1" applyBorder="1" applyAlignment="1">
      <alignment horizontal="right"/>
    </xf>
    <xf numFmtId="174" fontId="35" fillId="0" borderId="10" xfId="46" applyNumberFormat="1" applyFont="1" applyFill="1" applyBorder="1" applyAlignment="1">
      <alignment horizontal="right"/>
    </xf>
    <xf numFmtId="0" fontId="131" fillId="0" borderId="16" xfId="0" applyFont="1" applyBorder="1" applyAlignment="1">
      <alignment horizontal="center"/>
    </xf>
    <xf numFmtId="0" fontId="131" fillId="0" borderId="17" xfId="0" applyFont="1" applyBorder="1" applyAlignment="1">
      <alignment horizontal="center"/>
    </xf>
    <xf numFmtId="0" fontId="131" fillId="0" borderId="0" xfId="0" applyFont="1" applyBorder="1" applyAlignment="1">
      <alignment horizontal="center"/>
    </xf>
    <xf numFmtId="0" fontId="131" fillId="0" borderId="11" xfId="0" applyFont="1" applyBorder="1" applyAlignment="1">
      <alignment horizontal="center"/>
    </xf>
    <xf numFmtId="174" fontId="131" fillId="0" borderId="0" xfId="46" applyNumberFormat="1" applyFont="1" applyFill="1" applyBorder="1" applyAlignment="1">
      <alignment horizontal="right"/>
    </xf>
    <xf numFmtId="174" fontId="131" fillId="0" borderId="11" xfId="46" applyNumberFormat="1" applyFont="1" applyFill="1" applyBorder="1" applyAlignment="1">
      <alignment horizontal="right"/>
    </xf>
    <xf numFmtId="0" fontId="132" fillId="0" borderId="16" xfId="0" applyFont="1" applyBorder="1" applyAlignment="1">
      <alignment horizontal="center"/>
    </xf>
    <xf numFmtId="0" fontId="132" fillId="0" borderId="17" xfId="0" applyFont="1" applyBorder="1" applyAlignment="1">
      <alignment horizontal="center"/>
    </xf>
    <xf numFmtId="0" fontId="132" fillId="0" borderId="0" xfId="0" applyFont="1" applyBorder="1" applyAlignment="1">
      <alignment horizontal="center"/>
    </xf>
    <xf numFmtId="0" fontId="132" fillId="0" borderId="11" xfId="0" applyFont="1" applyBorder="1" applyAlignment="1">
      <alignment horizontal="center"/>
    </xf>
    <xf numFmtId="174" fontId="132" fillId="0" borderId="0" xfId="46" applyNumberFormat="1" applyFont="1" applyFill="1" applyBorder="1" applyAlignment="1">
      <alignment horizontal="right"/>
    </xf>
    <xf numFmtId="174" fontId="132" fillId="0" borderId="11" xfId="46" applyNumberFormat="1" applyFont="1" applyFill="1" applyBorder="1" applyAlignment="1">
      <alignment horizontal="right"/>
    </xf>
    <xf numFmtId="0" fontId="1" fillId="0" borderId="25" xfId="0" applyFont="1" applyBorder="1" applyAlignment="1">
      <alignment horizontal="center"/>
    </xf>
    <xf numFmtId="0" fontId="1" fillId="0" borderId="26" xfId="0" applyFont="1" applyBorder="1" applyAlignment="1">
      <alignment horizontal="center"/>
    </xf>
    <xf numFmtId="172" fontId="34" fillId="0" borderId="0" xfId="46" applyFont="1" applyBorder="1" applyAlignment="1">
      <alignment horizontal="center"/>
    </xf>
    <xf numFmtId="0" fontId="34" fillId="0" borderId="0" xfId="0" applyFont="1" applyBorder="1" applyAlignment="1">
      <alignment horizontal="center"/>
    </xf>
    <xf numFmtId="0" fontId="34" fillId="0" borderId="0" xfId="0" applyFont="1" applyAlignment="1">
      <alignment horizontal="center"/>
    </xf>
    <xf numFmtId="172" fontId="34" fillId="0" borderId="0" xfId="46" applyFont="1" applyAlignment="1">
      <alignment horizontal="center"/>
    </xf>
    <xf numFmtId="0" fontId="1" fillId="0" borderId="16" xfId="0" applyFont="1" applyBorder="1" applyAlignment="1">
      <alignment horizontal="center"/>
    </xf>
    <xf numFmtId="0" fontId="1" fillId="0" borderId="0" xfId="0" applyFont="1" applyBorder="1" applyAlignment="1">
      <alignment horizontal="center"/>
    </xf>
    <xf numFmtId="0" fontId="2" fillId="0" borderId="10" xfId="0" applyFont="1" applyBorder="1" applyAlignment="1">
      <alignment/>
    </xf>
    <xf numFmtId="0" fontId="0" fillId="25" borderId="0" xfId="0" applyFill="1" applyAlignment="1">
      <alignment/>
    </xf>
    <xf numFmtId="0" fontId="1" fillId="25" borderId="0" xfId="0" applyFont="1" applyFill="1" applyAlignment="1">
      <alignment/>
    </xf>
    <xf numFmtId="0" fontId="4" fillId="25" borderId="0" xfId="0" applyFont="1" applyFill="1" applyAlignment="1">
      <alignment/>
    </xf>
    <xf numFmtId="172" fontId="0" fillId="25" borderId="0" xfId="46" applyFill="1" applyAlignment="1">
      <alignment/>
    </xf>
    <xf numFmtId="172" fontId="0" fillId="25" borderId="0" xfId="46" applyFont="1" applyFill="1" applyAlignment="1">
      <alignment/>
    </xf>
    <xf numFmtId="172" fontId="1" fillId="25" borderId="0" xfId="46" applyFont="1" applyFill="1" applyAlignment="1">
      <alignment/>
    </xf>
    <xf numFmtId="172" fontId="5" fillId="25" borderId="0" xfId="46" applyFont="1" applyFill="1" applyAlignment="1">
      <alignment/>
    </xf>
    <xf numFmtId="172" fontId="9" fillId="25" borderId="0" xfId="46" applyFont="1" applyFill="1" applyAlignment="1">
      <alignment/>
    </xf>
    <xf numFmtId="172" fontId="0" fillId="25" borderId="0" xfId="46" applyFont="1" applyFill="1" applyBorder="1" applyAlignment="1">
      <alignment/>
    </xf>
    <xf numFmtId="172" fontId="9" fillId="25" borderId="0" xfId="46" applyFont="1" applyFill="1" applyBorder="1" applyAlignment="1">
      <alignment/>
    </xf>
    <xf numFmtId="172" fontId="13" fillId="25" borderId="0" xfId="46" applyFont="1" applyFill="1" applyBorder="1" applyAlignment="1">
      <alignment/>
    </xf>
    <xf numFmtId="0" fontId="20" fillId="25" borderId="0" xfId="0" applyFont="1" applyFill="1" applyAlignment="1">
      <alignment/>
    </xf>
    <xf numFmtId="178" fontId="20" fillId="25" borderId="0" xfId="0" applyNumberFormat="1" applyFont="1" applyFill="1" applyAlignment="1">
      <alignment/>
    </xf>
    <xf numFmtId="177" fontId="20" fillId="25" borderId="11" xfId="0" applyNumberFormat="1" applyFont="1" applyFill="1" applyBorder="1" applyAlignment="1">
      <alignment/>
    </xf>
    <xf numFmtId="177" fontId="20" fillId="25" borderId="0" xfId="0" applyNumberFormat="1" applyFont="1" applyFill="1" applyBorder="1" applyAlignment="1">
      <alignment/>
    </xf>
    <xf numFmtId="9" fontId="20" fillId="25" borderId="0" xfId="52" applyFont="1" applyFill="1" applyBorder="1" applyAlignment="1">
      <alignment/>
    </xf>
    <xf numFmtId="178" fontId="20" fillId="25" borderId="11" xfId="0" applyNumberFormat="1" applyFont="1" applyFill="1" applyBorder="1" applyAlignment="1">
      <alignment/>
    </xf>
    <xf numFmtId="177" fontId="20" fillId="25" borderId="10" xfId="0" applyNumberFormat="1" applyFont="1" applyFill="1" applyBorder="1" applyAlignment="1">
      <alignment/>
    </xf>
    <xf numFmtId="0" fontId="1" fillId="0" borderId="0" xfId="0" applyFont="1" applyFill="1" applyAlignment="1">
      <alignment/>
    </xf>
    <xf numFmtId="191" fontId="0" fillId="0" borderId="0" xfId="0" applyNumberFormat="1" applyFill="1" applyAlignment="1">
      <alignment/>
    </xf>
    <xf numFmtId="0" fontId="0" fillId="0" borderId="0" xfId="0" applyFont="1" applyFill="1" applyAlignment="1">
      <alignment/>
    </xf>
    <xf numFmtId="8" fontId="0" fillId="0" borderId="0" xfId="0" applyNumberFormat="1" applyFill="1" applyAlignment="1">
      <alignment/>
    </xf>
    <xf numFmtId="46" fontId="0" fillId="0" borderId="0" xfId="0" applyNumberFormat="1" applyFont="1" applyFill="1" applyAlignment="1" quotePrefix="1">
      <alignment horizontal="left"/>
    </xf>
    <xf numFmtId="2" fontId="0" fillId="0" borderId="0" xfId="0" applyNumberFormat="1" applyFill="1" applyBorder="1" applyAlignment="1">
      <alignment horizontal="right"/>
    </xf>
    <xf numFmtId="0" fontId="0" fillId="0" borderId="0" xfId="0" applyFill="1" applyBorder="1" applyAlignment="1">
      <alignment/>
    </xf>
    <xf numFmtId="0" fontId="0" fillId="0" borderId="11" xfId="0" applyBorder="1" applyAlignment="1">
      <alignment/>
    </xf>
    <xf numFmtId="2" fontId="1" fillId="0" borderId="22" xfId="0" applyNumberFormat="1" applyFont="1" applyFill="1" applyBorder="1" applyAlignment="1">
      <alignment horizontal="right"/>
    </xf>
    <xf numFmtId="8" fontId="1" fillId="0" borderId="22" xfId="0" applyNumberFormat="1" applyFont="1" applyFill="1" applyBorder="1" applyAlignment="1">
      <alignment/>
    </xf>
    <xf numFmtId="0" fontId="0" fillId="0" borderId="22" xfId="0" applyBorder="1" applyAlignment="1">
      <alignment/>
    </xf>
    <xf numFmtId="8" fontId="1" fillId="0" borderId="22" xfId="0" applyNumberFormat="1" applyFont="1" applyBorder="1" applyAlignment="1">
      <alignment/>
    </xf>
    <xf numFmtId="8" fontId="47" fillId="0" borderId="23" xfId="0" applyNumberFormat="1" applyFont="1" applyBorder="1" applyAlignment="1">
      <alignment/>
    </xf>
    <xf numFmtId="0" fontId="0" fillId="0" borderId="21" xfId="0" applyFill="1" applyBorder="1" applyAlignment="1">
      <alignment/>
    </xf>
    <xf numFmtId="0" fontId="2" fillId="0" borderId="22" xfId="0" applyFont="1" applyFill="1" applyBorder="1" applyAlignment="1">
      <alignment/>
    </xf>
    <xf numFmtId="0" fontId="2" fillId="0" borderId="22" xfId="0" applyFont="1" applyFill="1" applyBorder="1" applyAlignment="1">
      <alignment horizontal="center" wrapText="1"/>
    </xf>
    <xf numFmtId="0" fontId="2" fillId="0" borderId="22" xfId="0" applyFont="1" applyFill="1" applyBorder="1" applyAlignment="1">
      <alignment wrapText="1"/>
    </xf>
    <xf numFmtId="0" fontId="7" fillId="0" borderId="23" xfId="0" applyFont="1" applyFill="1" applyBorder="1" applyAlignment="1">
      <alignment horizontal="center" wrapText="1"/>
    </xf>
    <xf numFmtId="174" fontId="35" fillId="37" borderId="0" xfId="46" applyNumberFormat="1" applyFont="1" applyFill="1" applyAlignment="1">
      <alignment/>
    </xf>
    <xf numFmtId="174" fontId="32" fillId="0" borderId="0" xfId="46" applyNumberFormat="1" applyFont="1" applyFill="1" applyAlignment="1">
      <alignment/>
    </xf>
    <xf numFmtId="174" fontId="32" fillId="0" borderId="0" xfId="46" applyNumberFormat="1" applyFont="1" applyFill="1" applyAlignment="1">
      <alignment horizontal="right"/>
    </xf>
    <xf numFmtId="0" fontId="0" fillId="38" borderId="0" xfId="0" applyFont="1" applyFill="1" applyAlignment="1">
      <alignment/>
    </xf>
    <xf numFmtId="178" fontId="0" fillId="38" borderId="0" xfId="0" applyNumberFormat="1" applyFont="1" applyFill="1" applyAlignment="1">
      <alignment/>
    </xf>
    <xf numFmtId="0" fontId="49" fillId="0" borderId="15"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16" xfId="0" applyFont="1" applyBorder="1" applyAlignment="1">
      <alignment horizontal="center" vertical="center" wrapText="1"/>
    </xf>
    <xf numFmtId="0" fontId="50" fillId="0" borderId="16" xfId="0" applyFont="1" applyBorder="1" applyAlignment="1">
      <alignment horizontal="center" vertical="center" wrapText="1"/>
    </xf>
    <xf numFmtId="178" fontId="50" fillId="0" borderId="17" xfId="0" applyNumberFormat="1" applyFont="1" applyBorder="1" applyAlignment="1">
      <alignment horizontal="center" vertical="center" wrapText="1"/>
    </xf>
    <xf numFmtId="177" fontId="0" fillId="38" borderId="11" xfId="0" applyNumberFormat="1" applyFont="1" applyFill="1" applyBorder="1" applyAlignment="1">
      <alignment/>
    </xf>
    <xf numFmtId="177" fontId="0" fillId="38" borderId="0" xfId="0" applyNumberFormat="1" applyFill="1" applyAlignment="1">
      <alignment/>
    </xf>
    <xf numFmtId="9" fontId="0" fillId="38" borderId="0" xfId="52" applyFont="1" applyFill="1" applyBorder="1" applyAlignment="1">
      <alignment/>
    </xf>
    <xf numFmtId="178" fontId="0" fillId="38" borderId="11" xfId="0" applyNumberFormat="1" applyFont="1" applyFill="1" applyBorder="1" applyAlignment="1">
      <alignment/>
    </xf>
    <xf numFmtId="177" fontId="0" fillId="38" borderId="10" xfId="0" applyNumberFormat="1" applyFont="1" applyFill="1" applyBorder="1" applyAlignment="1">
      <alignment/>
    </xf>
    <xf numFmtId="172" fontId="7" fillId="0" borderId="15" xfId="46" applyFont="1"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7"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174" fontId="47" fillId="0" borderId="10" xfId="46" applyNumberFormat="1" applyFont="1" applyBorder="1" applyAlignment="1">
      <alignment/>
    </xf>
    <xf numFmtId="0" fontId="48" fillId="0" borderId="0" xfId="0" applyFont="1" applyAlignment="1">
      <alignment/>
    </xf>
    <xf numFmtId="0" fontId="7" fillId="0" borderId="15" xfId="46" applyNumberFormat="1" applyFont="1" applyBorder="1" applyAlignment="1">
      <alignment horizontal="center" vertical="center" wrapText="1"/>
    </xf>
    <xf numFmtId="0" fontId="0" fillId="0" borderId="16" xfId="0" applyNumberFormat="1" applyBorder="1" applyAlignment="1">
      <alignment horizontal="center" vertical="center"/>
    </xf>
    <xf numFmtId="0" fontId="0" fillId="0" borderId="17" xfId="0" applyNumberFormat="1" applyBorder="1" applyAlignment="1">
      <alignment horizontal="center" vertical="center"/>
    </xf>
    <xf numFmtId="0" fontId="7" fillId="0" borderId="15" xfId="0" applyFont="1" applyBorder="1" applyAlignment="1">
      <alignment horizontal="center" vertical="center"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3" fontId="133" fillId="0" borderId="0" xfId="46" applyNumberFormat="1" applyFont="1" applyFill="1" applyBorder="1" applyAlignment="1">
      <alignment horizontal="right"/>
    </xf>
    <xf numFmtId="174" fontId="133" fillId="0" borderId="0" xfId="46" applyNumberFormat="1" applyFont="1" applyFill="1" applyBorder="1" applyAlignment="1">
      <alignment horizontal="right"/>
    </xf>
    <xf numFmtId="14" fontId="0" fillId="0" borderId="0" xfId="0" applyNumberFormat="1" applyAlignment="1">
      <alignment/>
    </xf>
    <xf numFmtId="0" fontId="134" fillId="0" borderId="0" xfId="0" applyFont="1" applyAlignment="1">
      <alignment/>
    </xf>
    <xf numFmtId="0" fontId="134" fillId="0" borderId="0" xfId="0" applyFont="1" applyAlignment="1">
      <alignment horizontal="right"/>
    </xf>
    <xf numFmtId="0" fontId="135" fillId="0" borderId="0" xfId="0" applyFont="1" applyAlignment="1">
      <alignment horizontal="right"/>
    </xf>
    <xf numFmtId="0" fontId="136" fillId="0" borderId="0" xfId="49" applyFont="1" applyAlignment="1" applyProtection="1">
      <alignment/>
      <protection/>
    </xf>
    <xf numFmtId="0" fontId="1" fillId="0" borderId="0" xfId="0" applyFont="1" applyBorder="1" applyAlignment="1">
      <alignment horizontal="right"/>
    </xf>
    <xf numFmtId="0" fontId="135" fillId="0" borderId="0" xfId="0" applyFont="1" applyAlignment="1">
      <alignment/>
    </xf>
    <xf numFmtId="177" fontId="105" fillId="0" borderId="16" xfId="0" applyNumberFormat="1" applyFont="1" applyFill="1" applyBorder="1" applyAlignment="1">
      <alignment/>
    </xf>
    <xf numFmtId="177" fontId="105" fillId="0" borderId="15" xfId="0" applyNumberFormat="1" applyFont="1" applyFill="1" applyBorder="1" applyAlignment="1">
      <alignment/>
    </xf>
    <xf numFmtId="9" fontId="105" fillId="0" borderId="16" xfId="52" applyFont="1" applyFill="1" applyBorder="1" applyAlignment="1">
      <alignment/>
    </xf>
    <xf numFmtId="178" fontId="105" fillId="0" borderId="17" xfId="0" applyNumberFormat="1" applyFont="1" applyFill="1" applyBorder="1" applyAlignment="1">
      <alignment/>
    </xf>
    <xf numFmtId="177" fontId="105" fillId="0" borderId="22" xfId="0" applyNumberFormat="1" applyFont="1" applyFill="1" applyBorder="1" applyAlignment="1">
      <alignment/>
    </xf>
    <xf numFmtId="177" fontId="105" fillId="0" borderId="21" xfId="0" applyNumberFormat="1" applyFont="1" applyFill="1" applyBorder="1" applyAlignment="1">
      <alignment/>
    </xf>
    <xf numFmtId="9" fontId="105" fillId="0" borderId="22" xfId="52" applyFont="1" applyFill="1" applyBorder="1" applyAlignment="1">
      <alignment/>
    </xf>
    <xf numFmtId="178" fontId="105" fillId="0" borderId="23" xfId="0" applyNumberFormat="1" applyFont="1" applyFill="1" applyBorder="1" applyAlignment="1">
      <alignment/>
    </xf>
    <xf numFmtId="177" fontId="105" fillId="0" borderId="0" xfId="0" applyNumberFormat="1" applyFont="1" applyFill="1" applyBorder="1" applyAlignment="1">
      <alignment/>
    </xf>
    <xf numFmtId="177" fontId="105" fillId="0" borderId="10" xfId="0" applyNumberFormat="1" applyFont="1" applyFill="1" applyBorder="1" applyAlignment="1">
      <alignment/>
    </xf>
    <xf numFmtId="177" fontId="106" fillId="0" borderId="0" xfId="0" applyNumberFormat="1" applyFont="1" applyFill="1" applyBorder="1" applyAlignment="1">
      <alignment/>
    </xf>
    <xf numFmtId="9" fontId="105" fillId="0" borderId="0" xfId="52" applyFont="1" applyFill="1" applyBorder="1" applyAlignment="1">
      <alignment/>
    </xf>
    <xf numFmtId="178" fontId="105" fillId="0" borderId="11" xfId="0" applyNumberFormat="1" applyFont="1" applyFill="1" applyBorder="1" applyAlignment="1">
      <alignment/>
    </xf>
    <xf numFmtId="0" fontId="107" fillId="0" borderId="0" xfId="0" applyFont="1" applyAlignment="1">
      <alignment/>
    </xf>
    <xf numFmtId="0" fontId="108" fillId="0" borderId="0" xfId="0" applyFont="1" applyAlignment="1">
      <alignment/>
    </xf>
    <xf numFmtId="178" fontId="105" fillId="0" borderId="0" xfId="0" applyNumberFormat="1" applyFont="1" applyFill="1" applyBorder="1" applyAlignment="1">
      <alignment/>
    </xf>
    <xf numFmtId="177" fontId="107" fillId="0" borderId="0" xfId="0" applyNumberFormat="1" applyFont="1" applyFill="1" applyBorder="1" applyAlignment="1">
      <alignment horizontal="right"/>
    </xf>
    <xf numFmtId="14" fontId="107" fillId="0" borderId="0" xfId="0" applyNumberFormat="1" applyFont="1" applyFill="1" applyBorder="1" applyAlignment="1" quotePrefix="1">
      <alignment horizontal="left"/>
    </xf>
    <xf numFmtId="0" fontId="107" fillId="0" borderId="0" xfId="0" applyFont="1" applyAlignment="1">
      <alignment horizontal="left"/>
    </xf>
    <xf numFmtId="0" fontId="107" fillId="0" borderId="0" xfId="0" applyFont="1" applyAlignment="1">
      <alignment horizontal="right"/>
    </xf>
    <xf numFmtId="178" fontId="109" fillId="0" borderId="0" xfId="0" applyNumberFormat="1" applyFont="1" applyBorder="1" applyAlignment="1">
      <alignment horizontal="left"/>
    </xf>
    <xf numFmtId="177" fontId="110" fillId="0" borderId="16" xfId="0" applyNumberFormat="1" applyFont="1" applyFill="1" applyBorder="1" applyAlignment="1">
      <alignment/>
    </xf>
    <xf numFmtId="177" fontId="110" fillId="0" borderId="22" xfId="0" applyNumberFormat="1" applyFont="1" applyFill="1" applyBorder="1" applyAlignment="1">
      <alignment/>
    </xf>
    <xf numFmtId="177" fontId="110" fillId="0" borderId="0" xfId="0" applyNumberFormat="1" applyFont="1" applyFill="1" applyBorder="1" applyAlignment="1">
      <alignment/>
    </xf>
    <xf numFmtId="0" fontId="28" fillId="0" borderId="15" xfId="0" applyFont="1" applyFill="1" applyBorder="1" applyAlignment="1">
      <alignment horizontal="left"/>
    </xf>
    <xf numFmtId="0" fontId="28" fillId="0" borderId="21" xfId="0" applyFont="1" applyFill="1" applyBorder="1" applyAlignment="1">
      <alignment horizontal="left"/>
    </xf>
    <xf numFmtId="0" fontId="28" fillId="0" borderId="10" xfId="0" applyFont="1" applyFill="1" applyBorder="1" applyAlignment="1">
      <alignment horizontal="left"/>
    </xf>
    <xf numFmtId="0" fontId="28" fillId="0" borderId="21" xfId="0" applyFont="1" applyFill="1" applyBorder="1" applyAlignment="1">
      <alignment horizontal="left" wrapText="1"/>
    </xf>
    <xf numFmtId="0" fontId="137" fillId="39" borderId="27" xfId="0" applyFont="1" applyFill="1" applyBorder="1" applyAlignment="1">
      <alignment horizontal="center"/>
    </xf>
    <xf numFmtId="0" fontId="137" fillId="39" borderId="13" xfId="0" applyFont="1" applyFill="1" applyBorder="1" applyAlignment="1">
      <alignment horizontal="center"/>
    </xf>
    <xf numFmtId="174" fontId="34" fillId="39" borderId="13" xfId="46" applyNumberFormat="1" applyFont="1" applyFill="1" applyBorder="1" applyAlignment="1">
      <alignment horizontal="right"/>
    </xf>
    <xf numFmtId="174" fontId="138" fillId="39" borderId="13" xfId="46" applyNumberFormat="1" applyFont="1" applyFill="1" applyBorder="1" applyAlignment="1">
      <alignment horizontal="right"/>
    </xf>
    <xf numFmtId="174" fontId="138" fillId="39" borderId="14" xfId="46" applyNumberFormat="1" applyFont="1" applyFill="1" applyBorder="1" applyAlignment="1">
      <alignment horizontal="right"/>
    </xf>
    <xf numFmtId="174" fontId="32" fillId="39" borderId="13" xfId="46" applyNumberFormat="1" applyFont="1" applyFill="1" applyBorder="1" applyAlignment="1">
      <alignment horizontal="right"/>
    </xf>
    <xf numFmtId="174" fontId="13" fillId="39" borderId="13" xfId="46" applyNumberFormat="1" applyFont="1" applyFill="1" applyBorder="1" applyAlignment="1">
      <alignment horizontal="right"/>
    </xf>
    <xf numFmtId="174" fontId="13" fillId="39" borderId="14" xfId="46" applyNumberFormat="1" applyFont="1" applyFill="1" applyBorder="1" applyAlignment="1">
      <alignment horizontal="right"/>
    </xf>
    <xf numFmtId="174" fontId="35" fillId="39" borderId="12" xfId="46" applyNumberFormat="1" applyFont="1" applyFill="1" applyBorder="1" applyAlignment="1">
      <alignment horizontal="right"/>
    </xf>
    <xf numFmtId="174" fontId="33" fillId="39" borderId="14" xfId="46" applyNumberFormat="1" applyFont="1" applyFill="1" applyBorder="1" applyAlignment="1">
      <alignment horizontal="right"/>
    </xf>
    <xf numFmtId="174" fontId="139" fillId="39" borderId="0" xfId="46" applyNumberFormat="1" applyFont="1" applyFill="1" applyBorder="1" applyAlignment="1">
      <alignment horizontal="center"/>
    </xf>
    <xf numFmtId="174" fontId="138" fillId="39" borderId="0" xfId="46" applyNumberFormat="1" applyFont="1" applyFill="1" applyBorder="1" applyAlignment="1">
      <alignment horizontal="right"/>
    </xf>
    <xf numFmtId="174" fontId="133" fillId="39" borderId="0" xfId="46" applyNumberFormat="1" applyFont="1" applyFill="1" applyBorder="1" applyAlignment="1">
      <alignment horizontal="left"/>
    </xf>
    <xf numFmtId="174" fontId="133" fillId="39" borderId="0" xfId="46" applyNumberFormat="1" applyFont="1" applyFill="1" applyBorder="1" applyAlignment="1">
      <alignment horizontal="center"/>
    </xf>
    <xf numFmtId="174" fontId="35" fillId="0" borderId="0" xfId="46" applyNumberFormat="1" applyFont="1" applyFill="1" applyBorder="1" applyAlignment="1">
      <alignment horizontal="right"/>
    </xf>
    <xf numFmtId="174" fontId="32" fillId="0" borderId="0" xfId="46" applyNumberFormat="1" applyFont="1" applyBorder="1" applyAlignment="1">
      <alignment horizontal="left"/>
    </xf>
    <xf numFmtId="172" fontId="33" fillId="0" borderId="0" xfId="46" applyFont="1" applyAlignment="1" quotePrefix="1">
      <alignment horizontal="center"/>
    </xf>
    <xf numFmtId="172" fontId="32" fillId="0" borderId="0" xfId="46" applyFont="1" applyAlignment="1" quotePrefix="1">
      <alignment horizont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Comma" xfId="48"/>
    <cellStyle name="Hyperlink"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  </a:t>
            </a:r>
          </a:p>
        </c:rich>
      </c:tx>
      <c:layout>
        <c:manualLayout>
          <c:xMode val="factor"/>
          <c:yMode val="factor"/>
          <c:x val="0.00175"/>
          <c:y val="-0.0045"/>
        </c:manualLayout>
      </c:layout>
      <c:spPr>
        <a:noFill/>
        <a:ln>
          <a:noFill/>
        </a:ln>
      </c:spPr>
    </c:title>
    <c:plotArea>
      <c:layout>
        <c:manualLayout>
          <c:xMode val="edge"/>
          <c:yMode val="edge"/>
          <c:x val="0.0415"/>
          <c:y val="0.12925"/>
          <c:w val="0.93925"/>
          <c:h val="0.838"/>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gradFill rotWithShape="1">
                <a:gsLst>
                  <a:gs pos="0">
                    <a:srgbClr val="322800"/>
                  </a:gs>
                  <a:gs pos="100000">
                    <a:srgbClr val="FFCC00"/>
                  </a:gs>
                </a:gsLst>
                <a:lin ang="5400000" scaled="1"/>
              </a:gradFill>
              <a:ln w="12700">
                <a:solidFill>
                  <a:srgbClr val="000000"/>
                </a:solidFill>
              </a:ln>
            </c:spPr>
          </c:dPt>
          <c:dPt>
            <c:idx val="1"/>
            <c:invertIfNegative val="0"/>
            <c:spPr>
              <a:gradFill rotWithShape="1">
                <a:gsLst>
                  <a:gs pos="0">
                    <a:srgbClr val="001800"/>
                  </a:gs>
                  <a:gs pos="100000">
                    <a:srgbClr val="FFFF00"/>
                  </a:gs>
                </a:gsLst>
                <a:lin ang="5400000" scaled="1"/>
              </a:gradFill>
              <a:ln w="12700">
                <a:solidFill>
                  <a:srgbClr val="000000"/>
                </a:solidFill>
              </a:ln>
            </c:spPr>
          </c:dPt>
          <c:dPt>
            <c:idx val="2"/>
            <c:invertIfNegative val="0"/>
            <c:spPr>
              <a:gradFill rotWithShape="1">
                <a:gsLst>
                  <a:gs pos="0">
                    <a:srgbClr val="1A1A1A"/>
                  </a:gs>
                  <a:gs pos="100000">
                    <a:srgbClr val="000000"/>
                  </a:gs>
                </a:gsLst>
                <a:lin ang="5400000" scaled="1"/>
              </a:gradFill>
              <a:ln w="12700">
                <a:solidFill>
                  <a:srgbClr val="000000"/>
                </a:solidFill>
              </a:ln>
            </c:spPr>
          </c:dPt>
          <c:dPt>
            <c:idx val="3"/>
            <c:invertIfNegative val="0"/>
            <c:spPr>
              <a:gradFill rotWithShape="1">
                <a:gsLst>
                  <a:gs pos="0">
                    <a:srgbClr val="500000"/>
                  </a:gs>
                  <a:gs pos="100000">
                    <a:srgbClr val="A6A6A6"/>
                  </a:gs>
                </a:gsLst>
                <a:lin ang="5400000" scaled="1"/>
              </a:gradFill>
              <a:ln w="12700">
                <a:solidFill>
                  <a:srgbClr val="000000"/>
                </a:solidFill>
              </a:ln>
            </c:spPr>
          </c:dPt>
          <c:dPt>
            <c:idx val="4"/>
            <c:invertIfNegative val="0"/>
            <c:spPr>
              <a:gradFill rotWithShape="1">
                <a:gsLst>
                  <a:gs pos="0">
                    <a:srgbClr val="000000"/>
                  </a:gs>
                  <a:gs pos="100000">
                    <a:srgbClr val="70AD47"/>
                  </a:gs>
                </a:gsLst>
                <a:lin ang="5400000" scaled="1"/>
              </a:gradFill>
              <a:ln w="12700">
                <a:solidFill>
                  <a:srgbClr val="000000"/>
                </a:solidFill>
              </a:ln>
            </c:spPr>
          </c:dPt>
          <c:dPt>
            <c:idx val="5"/>
            <c:invertIfNegative val="0"/>
            <c:spPr>
              <a:solidFill>
                <a:srgbClr val="FF0000"/>
              </a:solidFill>
              <a:ln w="12700">
                <a:solidFill>
                  <a:srgbClr val="000000"/>
                </a:solidFill>
              </a:ln>
            </c:spPr>
          </c:dPt>
          <c:dPt>
            <c:idx val="6"/>
            <c:invertIfNegative val="0"/>
            <c:spPr>
              <a:solidFill>
                <a:srgbClr val="FF9900"/>
              </a:solidFill>
              <a:ln w="12700">
                <a:solidFill>
                  <a:srgbClr val="000000"/>
                </a:solidFill>
              </a:ln>
            </c:spPr>
          </c:dPt>
          <c:dPt>
            <c:idx val="7"/>
            <c:invertIfNegative val="0"/>
            <c:spPr>
              <a:solidFill>
                <a:srgbClr val="000080"/>
              </a:solidFill>
              <a:ln w="12700">
                <a:solidFill>
                  <a:srgbClr val="000000"/>
                </a:solidFill>
              </a:ln>
            </c:spPr>
          </c:dPt>
          <c:dPt>
            <c:idx val="8"/>
            <c:invertIfNegative val="0"/>
            <c:spPr>
              <a:solidFill>
                <a:srgbClr val="00CCFF"/>
              </a:solidFill>
              <a:ln w="12700">
                <a:solidFill>
                  <a:srgbClr val="000000"/>
                </a:solidFill>
              </a:ln>
            </c:spPr>
          </c:dPt>
          <c:dPt>
            <c:idx val="9"/>
            <c:invertIfNegative val="0"/>
            <c:spPr>
              <a:solidFill>
                <a:srgbClr val="FF0000"/>
              </a:solidFill>
              <a:ln w="12700">
                <a:solidFill>
                  <a:srgbClr val="000000"/>
                </a:solidFill>
              </a:ln>
            </c:spPr>
          </c:dPt>
          <c:cat>
            <c:strRef>
              <c:f>DurchschnJahresnettoeinkommen!$A$19:$A$23</c:f>
              <c:strCache/>
            </c:strRef>
          </c:cat>
          <c:val>
            <c:numRef>
              <c:f>DurchschnJahresnettoeinkommen!$B$19:$B$23</c:f>
              <c:numCache/>
            </c:numRef>
          </c:val>
        </c:ser>
        <c:axId val="4996020"/>
        <c:axId val="44964181"/>
      </c:barChart>
      <c:catAx>
        <c:axId val="499602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Eingruppierung</a:t>
                </a:r>
              </a:p>
            </c:rich>
          </c:tx>
          <c:layout>
            <c:manualLayout>
              <c:xMode val="factor"/>
              <c:yMode val="factor"/>
              <c:x val="-0.0225"/>
              <c:y val="-0.001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4964181"/>
        <c:crosses val="autoZero"/>
        <c:auto val="1"/>
        <c:lblOffset val="100"/>
        <c:tickLblSkip val="1"/>
        <c:noMultiLvlLbl val="0"/>
      </c:catAx>
      <c:valAx>
        <c:axId val="44964181"/>
        <c:scaling>
          <c:orientation val="minMax"/>
          <c:max val="4500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durchschnittliches Jahresnettoeinkommen in €</a:t>
                </a:r>
              </a:p>
            </c:rich>
          </c:tx>
          <c:layout>
            <c:manualLayout>
              <c:xMode val="factor"/>
              <c:yMode val="factor"/>
              <c:x val="-0.0125"/>
              <c:y val="-0.006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996020"/>
        <c:crossesAt val="1"/>
        <c:crossBetween val="between"/>
        <c:dispUnits/>
      </c:valAx>
      <c:spPr>
        <a:gradFill rotWithShape="1">
          <a:gsLst>
            <a:gs pos="0">
              <a:srgbClr val="EEEEEE"/>
            </a:gs>
            <a:gs pos="100000">
              <a:srgbClr val="C0C0C0"/>
            </a:gs>
          </a:gsLst>
          <a:lin ang="5400000" scaled="1"/>
        </a:gra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  </a:t>
            </a:r>
          </a:p>
        </c:rich>
      </c:tx>
      <c:layout>
        <c:manualLayout>
          <c:xMode val="factor"/>
          <c:yMode val="factor"/>
          <c:x val="0.00175"/>
          <c:y val="-0.0045"/>
        </c:manualLayout>
      </c:layout>
      <c:spPr>
        <a:noFill/>
        <a:ln w="3175">
          <a:noFill/>
        </a:ln>
      </c:spPr>
    </c:title>
    <c:plotArea>
      <c:layout>
        <c:manualLayout>
          <c:xMode val="edge"/>
          <c:yMode val="edge"/>
          <c:x val="0.0415"/>
          <c:y val="0.12925"/>
          <c:w val="0.93925"/>
          <c:h val="0.72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gradFill rotWithShape="1">
                <a:gsLst>
                  <a:gs pos="0">
                    <a:srgbClr val="322800"/>
                  </a:gs>
                  <a:gs pos="100000">
                    <a:srgbClr val="FFCC00"/>
                  </a:gs>
                </a:gsLst>
                <a:lin ang="5400000" scaled="1"/>
              </a:gradFill>
              <a:ln w="12700">
                <a:solidFill>
                  <a:srgbClr val="000000"/>
                </a:solidFill>
              </a:ln>
            </c:spPr>
          </c:dPt>
          <c:dPt>
            <c:idx val="1"/>
            <c:invertIfNegative val="0"/>
            <c:spPr>
              <a:gradFill rotWithShape="1">
                <a:gsLst>
                  <a:gs pos="0">
                    <a:srgbClr val="001800"/>
                  </a:gs>
                  <a:gs pos="100000">
                    <a:srgbClr val="FFFF00"/>
                  </a:gs>
                </a:gsLst>
                <a:lin ang="5400000" scaled="1"/>
              </a:gradFill>
              <a:ln w="12700">
                <a:solidFill>
                  <a:srgbClr val="000000"/>
                </a:solidFill>
              </a:ln>
            </c:spPr>
          </c:dPt>
          <c:dPt>
            <c:idx val="2"/>
            <c:invertIfNegative val="0"/>
            <c:spPr>
              <a:gradFill rotWithShape="1">
                <a:gsLst>
                  <a:gs pos="0">
                    <a:srgbClr val="1A1A1A"/>
                  </a:gs>
                  <a:gs pos="100000">
                    <a:srgbClr val="000000"/>
                  </a:gs>
                </a:gsLst>
                <a:lin ang="5400000" scaled="1"/>
              </a:gradFill>
              <a:ln w="12700">
                <a:solidFill>
                  <a:srgbClr val="000000"/>
                </a:solidFill>
              </a:ln>
            </c:spPr>
          </c:dPt>
          <c:dPt>
            <c:idx val="3"/>
            <c:invertIfNegative val="0"/>
            <c:spPr>
              <a:gradFill rotWithShape="1">
                <a:gsLst>
                  <a:gs pos="0">
                    <a:srgbClr val="500000"/>
                  </a:gs>
                  <a:gs pos="100000">
                    <a:srgbClr val="000000"/>
                  </a:gs>
                </a:gsLst>
                <a:lin ang="5400000" scaled="1"/>
              </a:gradFill>
              <a:ln w="12700">
                <a:solidFill>
                  <a:srgbClr val="000000"/>
                </a:solidFill>
              </a:ln>
            </c:spPr>
          </c:dPt>
          <c:dPt>
            <c:idx val="4"/>
            <c:invertIfNegative val="0"/>
            <c:spPr>
              <a:gradFill rotWithShape="1">
                <a:gsLst>
                  <a:gs pos="0">
                    <a:srgbClr val="000000"/>
                  </a:gs>
                  <a:gs pos="100000">
                    <a:srgbClr val="A6A6A6"/>
                  </a:gs>
                </a:gsLst>
                <a:lin ang="5400000" scaled="1"/>
              </a:gradFill>
              <a:ln w="12700">
                <a:solidFill>
                  <a:srgbClr val="000000"/>
                </a:solidFill>
              </a:ln>
            </c:spPr>
          </c:dPt>
          <c:dPt>
            <c:idx val="5"/>
            <c:invertIfNegative val="0"/>
            <c:spPr>
              <a:gradFill rotWithShape="1">
                <a:gsLst>
                  <a:gs pos="0">
                    <a:srgbClr val="000000"/>
                  </a:gs>
                  <a:gs pos="100000">
                    <a:srgbClr val="A6A6A6"/>
                  </a:gs>
                </a:gsLst>
                <a:lin ang="5400000" scaled="1"/>
              </a:gradFill>
              <a:ln w="12700">
                <a:solidFill>
                  <a:srgbClr val="000000"/>
                </a:solidFill>
              </a:ln>
            </c:spPr>
          </c:dPt>
          <c:dPt>
            <c:idx val="6"/>
            <c:invertIfNegative val="0"/>
            <c:spPr>
              <a:solidFill>
                <a:srgbClr val="FF9900"/>
              </a:solidFill>
              <a:ln w="12700">
                <a:solidFill>
                  <a:srgbClr val="000000"/>
                </a:solidFill>
              </a:ln>
            </c:spPr>
          </c:dPt>
          <c:dPt>
            <c:idx val="7"/>
            <c:invertIfNegative val="0"/>
            <c:spPr>
              <a:solidFill>
                <a:srgbClr val="000080"/>
              </a:solidFill>
              <a:ln w="12700">
                <a:solidFill>
                  <a:srgbClr val="000000"/>
                </a:solidFill>
              </a:ln>
            </c:spPr>
          </c:dPt>
          <c:dPt>
            <c:idx val="8"/>
            <c:invertIfNegative val="0"/>
            <c:spPr>
              <a:solidFill>
                <a:srgbClr val="00CCFF"/>
              </a:solidFill>
              <a:ln w="12700">
                <a:solidFill>
                  <a:srgbClr val="000000"/>
                </a:solidFill>
              </a:ln>
            </c:spPr>
          </c:dPt>
          <c:dPt>
            <c:idx val="9"/>
            <c:invertIfNegative val="0"/>
            <c:spPr>
              <a:solidFill>
                <a:srgbClr val="FF0000"/>
              </a:solidFill>
              <a:ln w="12700">
                <a:solidFill>
                  <a:srgbClr val="000000"/>
                </a:solidFill>
              </a:ln>
            </c:spPr>
          </c:dPt>
          <c:cat>
            <c:strRef>
              <c:f>'DurchschnJahresnetto - Stufe 6'!$A$13:$A$18</c:f>
              <c:strCache/>
            </c:strRef>
          </c:cat>
          <c:val>
            <c:numRef>
              <c:f>'DurchschnJahresnetto - Stufe 6'!$B$13:$B$18</c:f>
              <c:numCache/>
            </c:numRef>
          </c:val>
        </c:ser>
        <c:axId val="2024446"/>
        <c:axId val="18220015"/>
      </c:barChart>
      <c:catAx>
        <c:axId val="202444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Eingruppierung</a:t>
                </a:r>
              </a:p>
            </c:rich>
          </c:tx>
          <c:layout>
            <c:manualLayout>
              <c:xMode val="factor"/>
              <c:yMode val="factor"/>
              <c:x val="-0.02575"/>
              <c:y val="0.000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8220015"/>
        <c:crosses val="autoZero"/>
        <c:auto val="1"/>
        <c:lblOffset val="100"/>
        <c:tickLblSkip val="1"/>
        <c:noMultiLvlLbl val="0"/>
      </c:catAx>
      <c:valAx>
        <c:axId val="18220015"/>
        <c:scaling>
          <c:orientation val="minMax"/>
          <c:max val="4200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durchschnittliches Jahresnettoeinkommen in €</a:t>
                </a:r>
              </a:p>
            </c:rich>
          </c:tx>
          <c:layout>
            <c:manualLayout>
              <c:xMode val="factor"/>
              <c:yMode val="factor"/>
              <c:x val="-0.0125"/>
              <c:y val="-0.024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024446"/>
        <c:crossesAt val="1"/>
        <c:crossBetween val="between"/>
        <c:dispUnits/>
      </c:valAx>
      <c:spPr>
        <a:gradFill rotWithShape="1">
          <a:gsLst>
            <a:gs pos="0">
              <a:srgbClr val="EEEEEE"/>
            </a:gs>
            <a:gs pos="100000">
              <a:srgbClr val="C0C0C0"/>
            </a:gs>
          </a:gsLst>
          <a:lin ang="5400000" scaled="1"/>
        </a:gra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Entwicklung des Jahresnettoeinkommens einer 
</a:t>
            </a:r>
            <a:r>
              <a:rPr lang="en-US" cap="none" sz="1400" b="1" i="0" u="none" baseline="0">
                <a:solidFill>
                  <a:srgbClr val="000000"/>
                </a:solidFill>
                <a:latin typeface="Arial"/>
                <a:ea typeface="Arial"/>
                <a:cs typeface="Arial"/>
              </a:rPr>
              <a:t>ledigen, kinderlosen Lehrkraft in Berlin (Stand 10.2018)</a:t>
            </a:r>
          </a:p>
        </c:rich>
      </c:tx>
      <c:layout>
        <c:manualLayout>
          <c:xMode val="factor"/>
          <c:yMode val="factor"/>
          <c:x val="0.02125"/>
          <c:y val="0.0015"/>
        </c:manualLayout>
      </c:layout>
      <c:spPr>
        <a:noFill/>
        <a:ln>
          <a:noFill/>
        </a:ln>
      </c:spPr>
    </c:title>
    <c:plotArea>
      <c:layout>
        <c:manualLayout>
          <c:xMode val="edge"/>
          <c:yMode val="edge"/>
          <c:x val="0.05775"/>
          <c:y val="0.118"/>
          <c:w val="0.9075"/>
          <c:h val="0.80525"/>
        </c:manualLayout>
      </c:layout>
      <c:lineChart>
        <c:grouping val="standard"/>
        <c:varyColors val="0"/>
        <c:ser>
          <c:idx val="1"/>
          <c:order val="0"/>
          <c:tx>
            <c:strRef>
              <c:f>EntwJahresnettoeinkommen!$A$4</c:f>
              <c:strCache>
                <c:ptCount val="1"/>
                <c:pt idx="0">
                  <c:v>Jahr</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EntwJahresnettoeinkommen!$A$5:$A$44</c:f>
              <c:numCache/>
            </c:numRef>
          </c:val>
          <c:smooth val="0"/>
        </c:ser>
        <c:ser>
          <c:idx val="2"/>
          <c:order val="1"/>
          <c:tx>
            <c:strRef>
              <c:f>EntwJahresnettoeinkommen!$B$4</c:f>
              <c:strCache>
                <c:ptCount val="1"/>
                <c:pt idx="0">
                  <c:v>A13</c:v>
                </c:pt>
              </c:strCache>
            </c:strRef>
          </c:tx>
          <c:spPr>
            <a:ln w="38100">
              <a:solidFill>
                <a:srgbClr val="FF99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EntwJahresnettoeinkommen!$B$5:$B$44</c:f>
              <c:numCache/>
            </c:numRef>
          </c:val>
          <c:smooth val="0"/>
        </c:ser>
        <c:ser>
          <c:idx val="3"/>
          <c:order val="2"/>
          <c:tx>
            <c:strRef>
              <c:f>EntwJahresnettoeinkommen!$C$4</c:f>
              <c:strCache>
                <c:ptCount val="1"/>
                <c:pt idx="0">
                  <c:v>E13 Tarif</c:v>
                </c:pt>
              </c:strCache>
            </c:strRef>
          </c:tx>
          <c:spPr>
            <a:ln w="38100">
              <a:solidFill>
                <a:srgbClr val="333333"/>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EntwJahresnettoeinkommen!$C$5:$C$44</c:f>
              <c:numCache/>
            </c:numRef>
          </c:val>
          <c:smooth val="0"/>
        </c:ser>
        <c:ser>
          <c:idx val="5"/>
          <c:order val="3"/>
          <c:tx>
            <c:strRef>
              <c:f>EntwJahresnettoeinkommen!$D$4</c:f>
              <c:strCache>
                <c:ptCount val="1"/>
                <c:pt idx="0">
                  <c:v>E13 Stufe 5</c:v>
                </c:pt>
              </c:strCache>
            </c:strRef>
          </c:tx>
          <c:spPr>
            <a:ln w="38100">
              <a:solidFill>
                <a:srgbClr val="80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EntwJahresnettoeinkommen!$D$5:$D$44</c:f>
              <c:numCache/>
            </c:numRef>
          </c:val>
          <c:smooth val="0"/>
        </c:ser>
        <c:ser>
          <c:idx val="0"/>
          <c:order val="4"/>
          <c:tx>
            <c:strRef>
              <c:f>EntwJahresnettoeinkommen!$E$4</c:f>
              <c:strCache>
                <c:ptCount val="1"/>
                <c:pt idx="0">
                  <c:v>E13 Zulagen max</c:v>
                </c:pt>
              </c:strCache>
            </c:strRef>
          </c:tx>
          <c:spPr>
            <a:ln w="38100">
              <a:solidFill>
                <a:srgbClr val="3399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EntwJahresnettoeinkommen!$E$5:$E$44</c:f>
              <c:numCache/>
            </c:numRef>
          </c:val>
          <c:smooth val="0"/>
        </c:ser>
        <c:marker val="1"/>
        <c:axId val="29762408"/>
        <c:axId val="66535081"/>
      </c:lineChart>
      <c:catAx>
        <c:axId val="29762408"/>
        <c:scaling>
          <c:orientation val="minMax"/>
        </c:scaling>
        <c:axPos val="b"/>
        <c:title>
          <c:tx>
            <c:rich>
              <a:bodyPr vert="horz" rot="0" anchor="ctr"/>
              <a:lstStyle/>
              <a:p>
                <a:pPr algn="ctr">
                  <a:defRPr/>
                </a:pPr>
                <a:r>
                  <a:rPr lang="en-US" cap="none" sz="1250" b="1" i="0" u="none" baseline="0">
                    <a:solidFill>
                      <a:srgbClr val="000000"/>
                    </a:solidFill>
                    <a:latin typeface="Arial"/>
                    <a:ea typeface="Arial"/>
                    <a:cs typeface="Arial"/>
                  </a:rPr>
                  <a:t>Dienstjahre</a:t>
                </a:r>
              </a:p>
            </c:rich>
          </c:tx>
          <c:layout>
            <c:manualLayout>
              <c:xMode val="factor"/>
              <c:yMode val="factor"/>
              <c:x val="-0.019"/>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6535081"/>
        <c:crosses val="autoZero"/>
        <c:auto val="1"/>
        <c:lblOffset val="100"/>
        <c:tickLblSkip val="3"/>
        <c:noMultiLvlLbl val="0"/>
      </c:catAx>
      <c:valAx>
        <c:axId val="66535081"/>
        <c:scaling>
          <c:orientation val="minMax"/>
          <c:max val="45000"/>
          <c:min val="25000"/>
        </c:scaling>
        <c:axPos val="l"/>
        <c:title>
          <c:tx>
            <c:rich>
              <a:bodyPr vert="horz" rot="-5400000" anchor="ctr"/>
              <a:lstStyle/>
              <a:p>
                <a:pPr algn="ctr">
                  <a:defRPr/>
                </a:pPr>
                <a:r>
                  <a:rPr lang="en-US" cap="none" sz="1250" b="1" i="0" u="none" baseline="0">
                    <a:solidFill>
                      <a:srgbClr val="000000"/>
                    </a:solidFill>
                    <a:latin typeface="Arial"/>
                    <a:ea typeface="Arial"/>
                    <a:cs typeface="Arial"/>
                  </a:rPr>
                  <a:t>Jahresnettoeinkommen in €</a:t>
                </a:r>
              </a:p>
            </c:rich>
          </c:tx>
          <c:layout>
            <c:manualLayout>
              <c:xMode val="factor"/>
              <c:yMode val="factor"/>
              <c:x val="-0.0285"/>
              <c:y val="-0.004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9762408"/>
        <c:crossesAt val="1"/>
        <c:crossBetween val="between"/>
        <c:dispUnits/>
      </c:valAx>
      <c:spPr>
        <a:noFill/>
        <a:ln>
          <a:noFill/>
        </a:ln>
      </c:spPr>
    </c:plotArea>
    <c:plotVisOnly val="1"/>
    <c:dispBlanksAs val="gap"/>
    <c:showDLblsOverMax val="0"/>
  </c:chart>
  <c:spPr>
    <a:solidFill>
      <a:srgbClr val="FFFFFF"/>
    </a:solidFill>
    <a:ln w="12700">
      <a:solidFill>
        <a:srgbClr val="000000"/>
      </a:solidFill>
    </a:ln>
  </c:spPr>
  <c:txPr>
    <a:bodyPr vert="horz" rot="0"/>
    <a:lstStyle/>
    <a:p>
      <a:pPr>
        <a:defRPr lang="en-US" cap="none" sz="1425"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11</xdr:col>
      <xdr:colOff>133350</xdr:colOff>
      <xdr:row>9</xdr:row>
      <xdr:rowOff>9525</xdr:rowOff>
    </xdr:to>
    <xdr:sp>
      <xdr:nvSpPr>
        <xdr:cNvPr id="1" name="Text Box 2"/>
        <xdr:cNvSpPr txBox="1">
          <a:spLocks noChangeArrowheads="1"/>
        </xdr:cNvSpPr>
      </xdr:nvSpPr>
      <xdr:spPr>
        <a:xfrm>
          <a:off x="76200" y="66675"/>
          <a:ext cx="6210300" cy="3143250"/>
        </a:xfrm>
        <a:prstGeom prst="rect">
          <a:avLst/>
        </a:prstGeom>
        <a:solidFill>
          <a:srgbClr val="FFFF00"/>
        </a:solidFill>
        <a:ln w="9525" cmpd="sng">
          <a:solidFill>
            <a:srgbClr val="000000"/>
          </a:solidFill>
          <a:headEnd type="none"/>
          <a:tailEnd type="none"/>
        </a:ln>
      </xdr:spPr>
      <xdr:txBody>
        <a:bodyPr vertOverflow="clip" wrap="square" lIns="108000" tIns="36000" rIns="108000" bIns="0"/>
        <a:p>
          <a:pPr algn="l">
            <a:defRPr/>
          </a:pPr>
          <a:r>
            <a:rPr lang="en-US" cap="none" sz="1100" b="1" i="0" u="none" baseline="0">
              <a:solidFill>
                <a:srgbClr val="000000"/>
              </a:solidFill>
              <a:latin typeface="Arial"/>
              <a:ea typeface="Arial"/>
              <a:cs typeface="Arial"/>
            </a:rPr>
            <a:t>Modellberechnungen zum Lebenszeitnettoverdienst von Lehrkräften in Berlin
und Vorschlägen zur Annäherung der Einkommenssituation</a:t>
          </a:r>
          <a:r>
            <a:rPr lang="en-US" cap="none" sz="1100" b="0" i="0" u="none" baseline="0">
              <a:solidFill>
                <a:srgbClr val="000000"/>
              </a:solidFill>
              <a:latin typeface="Arial"/>
              <a:ea typeface="Arial"/>
              <a:cs typeface="Arial"/>
            </a:rPr>
            <a:t>
</a:t>
          </a:r>
          <a:r>
            <a:rPr lang="en-US" cap="none" sz="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in den folgenden Tabellenblättern dargelegten Modellberechnungen belegen, dass verbeamtete Studienräte in Berlin einen deutlich höheren Lebensarbeitszeitnettoverdienst haben als angestellte Lehrkräfte mit entsprechender Laufbahnbefähigung. Da der Senat nach wie vor verbeamtete Lehrerinnen und Lehrer aus anderen Bundesländern übernimmt, wird eine deutliche Ungleichbehandlung bei gleicher Eignung auch in Zukunft fortbestehen.
</a:t>
          </a:r>
          <a:r>
            <a:rPr lang="en-US" cap="none" sz="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hier vorliegenden Berechnungen vergleichen in Modellberechnungen den Lebensarbeitszeitnettoverdienst einer zum 01.08.2018 angestellten Lehrkraft mit dem Lebensarbeitszeitnettoverdienst einer zum 01.08.2018 in einem anderen Bundesland verbeamteten </a:t>
          </a:r>
          <a:r>
            <a:rPr lang="en-US" cap="none" sz="1000" b="0" i="0" u="none" baseline="0">
              <a:solidFill>
                <a:srgbClr val="000000"/>
              </a:solidFill>
              <a:latin typeface="Calibri"/>
              <a:ea typeface="Calibri"/>
              <a:cs typeface="Calibri"/>
            </a:rPr>
            <a:t>Lehrkraft</a:t>
          </a:r>
          <a:r>
            <a:rPr lang="en-US" cap="none" sz="1000" b="0" i="0" u="none" baseline="0">
              <a:solidFill>
                <a:srgbClr val="000000"/>
              </a:solidFill>
              <a:latin typeface="Arial"/>
              <a:ea typeface="Arial"/>
              <a:cs typeface="Arial"/>
            </a:rPr>
            <a:t>, die nach der Verbeamtung auf Lebenszeit als Berliner Landesbeamter vereidigt wird. Dies ist eine Situation, mit der Berliner Lehrkräfte seit einigen Jahren konkret konfrontiert sind. Angenommen wird hier eine ledige, kinderlose Person (siehe auch Tabellenblatt "Annahmen zur Modellierung").
</a:t>
          </a:r>
          <a:r>
            <a:rPr lang="en-US" cap="none" sz="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Berechnungen ergeben:
</a:t>
          </a:r>
          <a:r>
            <a:rPr lang="en-US" cap="none" sz="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Heute verdient die angestellte Lehrkraft 3,4 durchschnittliche Jahresnettogehälter bzw. fast125.000€ netto weniger als eine verbeamtete Lehrkraft. Beendet der Senat die außertariflich Nebenabrede zur Vorweg-gewährung der Erfahrungsstufe 5, so beträgt die Differenz 5 Jahresnettogehälter bzw. fast 177.000€.
</a:t>
          </a:r>
          <a:r>
            <a:rPr lang="en-US" cap="none" sz="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Würde man angestellten Lehrkräften Zulagen gemäß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16 (5) TV-L zahlen, so erhielten sie über 40 Dienstjahre hinweg 98% des N</a:t>
          </a:r>
          <a:r>
            <a:rPr lang="en-US" cap="none" sz="1000" b="0" i="0" u="none" baseline="0">
              <a:solidFill>
                <a:srgbClr val="000000"/>
              </a:solidFill>
              <a:latin typeface="Calibri"/>
              <a:ea typeface="Calibri"/>
              <a:cs typeface="Calibri"/>
            </a:rPr>
            <a:t>ettoeinkommens </a:t>
          </a:r>
          <a:r>
            <a:rPr lang="en-US" cap="none" sz="1000" b="0" i="0" u="none" baseline="0">
              <a:solidFill>
                <a:srgbClr val="000000"/>
              </a:solidFill>
              <a:latin typeface="Arial"/>
              <a:ea typeface="Arial"/>
              <a:cs typeface="Arial"/>
            </a:rPr>
            <a:t>einer verbeamteten Lehrkraft.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12</xdr:col>
      <xdr:colOff>219075</xdr:colOff>
      <xdr:row>13</xdr:row>
      <xdr:rowOff>419100</xdr:rowOff>
    </xdr:to>
    <xdr:sp>
      <xdr:nvSpPr>
        <xdr:cNvPr id="1" name="Text Box 1"/>
        <xdr:cNvSpPr txBox="1">
          <a:spLocks noChangeArrowheads="1"/>
        </xdr:cNvSpPr>
      </xdr:nvSpPr>
      <xdr:spPr>
        <a:xfrm>
          <a:off x="76200" y="47625"/>
          <a:ext cx="6562725" cy="5810250"/>
        </a:xfrm>
        <a:prstGeom prst="rect">
          <a:avLst/>
        </a:prstGeom>
        <a:solidFill>
          <a:srgbClr val="FFFFFF"/>
        </a:solidFill>
        <a:ln w="9525" cmpd="sng">
          <a:solidFill>
            <a:srgbClr val="000000"/>
          </a:solidFill>
          <a:headEnd type="none"/>
          <a:tailEnd type="none"/>
        </a:ln>
      </xdr:spPr>
      <xdr:txBody>
        <a:bodyPr vertOverflow="clip" wrap="square" lIns="108000" tIns="36000" rIns="108000" bIns="0"/>
        <a:p>
          <a:pPr algn="l">
            <a:defRPr/>
          </a:pPr>
          <a:r>
            <a:rPr lang="en-US" cap="none" sz="2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Annahmen zur Modellierung</a:t>
          </a:r>
          <a:r>
            <a:rPr lang="en-US" cap="none" sz="1000" b="0" i="0" u="none" baseline="0">
              <a:solidFill>
                <a:srgbClr val="000000"/>
              </a:solidFill>
              <a:latin typeface="Arial"/>
              <a:ea typeface="Arial"/>
              <a:cs typeface="Arial"/>
            </a:rPr>
            <a:t>
</a:t>
          </a:r>
          <a:r>
            <a:rPr lang="en-US" cap="none" sz="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Für die Berechnung des Lebensarbeitszeitnettoverdienstes wurden folgende Grundannahmen getroffen:
</a:t>
          </a:r>
          <a:r>
            <a:rPr lang="en-US" cap="none" sz="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Modellberechnungen legen einen Schwerpunkt auf die Betrachtung von Nettoverdiensten. Dies trägt dem Umstand Rechnung, dass ein Arbeitnehmer seine Entscheidung für einen Arbeitsplatz und einen Arbeitgeber davon abhängig macht, was er sich von dem Nettoverdienst leisten kann, den ihm die Tätigkeit einbringt. Ein Vergleich von Bruttogehältern von Angestellten und Beamten wird dem nicht gerecht.
</a:t>
          </a:r>
          <a:r>
            <a:rPr lang="en-US" cap="none" sz="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Modellberechnungen blenden sowohl zukünftige Wertminderungen des Gehalts durch Inflation als auch Lohnentwicklungen durch Anpassung der Entgelt- bzw. Besoldungstabellen aus, und ermöglichen es so, die derzeitige Situation als </a:t>
          </a:r>
          <a:r>
            <a:rPr lang="en-US" cap="none" sz="1000" b="1" i="0" u="none" baseline="0">
              <a:solidFill>
                <a:srgbClr val="000000"/>
              </a:solidFill>
              <a:latin typeface="Arial"/>
              <a:ea typeface="Arial"/>
              <a:cs typeface="Arial"/>
            </a:rPr>
            <a:t>„Schnappschuss“</a:t>
          </a:r>
          <a:r>
            <a:rPr lang="en-US" cap="none" sz="1000" b="0" i="0" u="none" baseline="0">
              <a:solidFill>
                <a:srgbClr val="000000"/>
              </a:solidFill>
              <a:latin typeface="Arial"/>
              <a:ea typeface="Arial"/>
              <a:cs typeface="Arial"/>
            </a:rPr>
            <a:t> zu betrachten.
</a:t>
          </a:r>
          <a:r>
            <a:rPr lang="en-US" cap="none" sz="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Modellberechnungen gehen von einer ledigen und kinderlosen Person aus. Es wird von dem am häufigsten zu erwartenden Berufseinstieg nach Abschluss des Referendariats mit 27 Jahren ausgegangen. Bis zum Renteneintrittsalter von 67 Jahren stellt der berechnete Zeitraum 40 Dienstjahre dar. Die Einstellung bzw. Vereidigung erfolgte in den Modellberechnungen zum 01.08.2018 und stellt damit die Entscheidungsgrundlage heute fertig ausgebildeter „Junglehrer“ dar. Es wird davon ausgegangen, dass das Pensionseintrittsalter dem Renteneintrittsalter mit derzeit 67 Jahren angeglichen wird.
</a:t>
          </a:r>
          <a:r>
            <a:rPr lang="en-US" cap="none" sz="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Berechnung der Nettoverdienste wurde mit Hilfe des Tarifrechners http://oeffentlicher-dienst.info von Markus Klenk  erstellt. Stichprobenartige Vergleiche mit tatsächlichen Gehaltsnachweisen belegen die Korrektheit des Tarifrechners. Angestellten wird dabei ein Beitrag zu einer Plicht-Zusatzrentenversicherung bei der Versorgungs-anstalt des Bundes und der Länder (VBL) abgezogen, der Angestellten nicht für den Lebensunterhalt zur Verfügung steht. Der Abzug dieser Beiträge ist in den hier dargestellten Nettoverdiensten berücksichtigt.
</a:t>
          </a:r>
          <a:r>
            <a:rPr lang="en-US" cap="none" sz="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Beamte zahlen ihre Beiträge zur privaten Krankenversicherung (PKV) zur Absicherung von Krankheitskosten zu 50% selbst. Diese Kosten sind von dem ihnen ausgezahlten Nettoverdienst abzuziehen. Die Kosten für die Absicherung variieren stark, je nach Alter und Vorerkrankung. In den Modellberechnungen wird ein Beitrag von 
</a:t>
          </a:r>
          <a:r>
            <a:rPr lang="en-US" cap="none" sz="1000" b="0" i="0" u="none" baseline="0">
              <a:solidFill>
                <a:srgbClr val="000000"/>
              </a:solidFill>
              <a:latin typeface="Arial"/>
              <a:ea typeface="Arial"/>
              <a:cs typeface="Arial"/>
            </a:rPr>
            <a:t>210 € angenommen. Dies ist etwas weniger als der Arbeitnehmeranteil für den Höchstbeitrag zur gesetzlichen Krankenkasse. Nicht zuletzt aufgrund umfangreicher Beitragsrückerstattungen der privaten Krankenkassen in Jahren der Gesundheit ist davon auszugehen, dass es vielen jung in die PKV eingetretenen Beamten gelingen wird, deutlich weniger für die private Krankenversicherung aufzuwenden als in diesen Berechnungen angenommen, sodass die Annahme als Durchschnittswert angemessen erscheint. Andererseits steht auch Angestellten, deren Einkommen die Bemessungsgrenze überschreitet der Wechsel in die PKV offen, wobei diese die Hälfte der Kosten als Arbeitgeberanteil erhalten.
</a:t>
          </a:r>
          <a:r>
            <a:rPr lang="en-US" cap="none" sz="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Berechnungen beschränken sich auf den während der Lebensarbeitszeit erworbenen Nettoverdienst. Aspekte der Ungleichbehandlung im Alter sind hier nicht betrachtet. Berechnungen von Bildet Berlin! haben ergeben, dass die Leistungen der staatlichen Rente plus Zusatzrente der VBL deutlich unterhalb der Pension eines verbeamteten Kollegen liegen, die sich nach der zuletzt erreichten Gehaltsstufe richtet. Würde jedoch das Nettoeinkommen durch entsprechende Zulagen angeglichen, erhöhen sich auch die Rentenleistungen derart, dass damit die derzeit bestehende Lücke in der Altersversorgung geschlossen würde.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8</xdr:col>
      <xdr:colOff>285750</xdr:colOff>
      <xdr:row>4</xdr:row>
      <xdr:rowOff>647700</xdr:rowOff>
    </xdr:to>
    <xdr:sp>
      <xdr:nvSpPr>
        <xdr:cNvPr id="1" name="Rectangle 6"/>
        <xdr:cNvSpPr>
          <a:spLocks/>
        </xdr:cNvSpPr>
      </xdr:nvSpPr>
      <xdr:spPr>
        <a:xfrm>
          <a:off x="9525" y="9525"/>
          <a:ext cx="5534025" cy="41338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152400</xdr:colOff>
      <xdr:row>0</xdr:row>
      <xdr:rowOff>200025</xdr:rowOff>
    </xdr:from>
    <xdr:to>
      <xdr:col>5</xdr:col>
      <xdr:colOff>704850</xdr:colOff>
      <xdr:row>4</xdr:row>
      <xdr:rowOff>171450</xdr:rowOff>
    </xdr:to>
    <xdr:graphicFrame>
      <xdr:nvGraphicFramePr>
        <xdr:cNvPr id="2" name="Diagramm 1"/>
        <xdr:cNvGraphicFramePr/>
      </xdr:nvGraphicFramePr>
      <xdr:xfrm>
        <a:off x="152400" y="200025"/>
        <a:ext cx="4343400" cy="3467100"/>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3</xdr:row>
      <xdr:rowOff>828675</xdr:rowOff>
    </xdr:from>
    <xdr:to>
      <xdr:col>1</xdr:col>
      <xdr:colOff>285750</xdr:colOff>
      <xdr:row>4</xdr:row>
      <xdr:rowOff>123825</xdr:rowOff>
    </xdr:to>
    <xdr:sp>
      <xdr:nvSpPr>
        <xdr:cNvPr id="3" name="Text Box 2"/>
        <xdr:cNvSpPr txBox="1">
          <a:spLocks noChangeArrowheads="1"/>
        </xdr:cNvSpPr>
      </xdr:nvSpPr>
      <xdr:spPr>
        <a:xfrm>
          <a:off x="247650" y="3419475"/>
          <a:ext cx="1257300" cy="200025"/>
        </a:xfrm>
        <a:prstGeom prst="rect">
          <a:avLst/>
        </a:prstGeom>
        <a:noFill/>
        <a:ln w="9525" cmpd="sng">
          <a:noFill/>
        </a:ln>
      </xdr:spPr>
      <xdr:txBody>
        <a:bodyPr vertOverflow="clip" wrap="square" lIns="27432" tIns="22860" rIns="0" bIns="0"/>
        <a:p>
          <a:pPr algn="l">
            <a:defRPr/>
          </a:pPr>
          <a:r>
            <a:rPr lang="en-US" cap="none" sz="1000" b="1" i="1" u="none" baseline="0">
              <a:solidFill>
                <a:srgbClr val="000000"/>
              </a:solidFill>
              <a:latin typeface="Arial"/>
              <a:ea typeface="Arial"/>
              <a:cs typeface="Arial"/>
            </a:rPr>
            <a:t>© 2018 Bildet Berlin!</a:t>
          </a:r>
        </a:p>
      </xdr:txBody>
    </xdr:sp>
    <xdr:clientData/>
  </xdr:twoCellAnchor>
  <xdr:twoCellAnchor>
    <xdr:from>
      <xdr:col>0</xdr:col>
      <xdr:colOff>180975</xdr:colOff>
      <xdr:row>0</xdr:row>
      <xdr:rowOff>285750</xdr:rowOff>
    </xdr:from>
    <xdr:to>
      <xdr:col>5</xdr:col>
      <xdr:colOff>628650</xdr:colOff>
      <xdr:row>0</xdr:row>
      <xdr:rowOff>657225</xdr:rowOff>
    </xdr:to>
    <xdr:sp>
      <xdr:nvSpPr>
        <xdr:cNvPr id="4" name="Text Box 5"/>
        <xdr:cNvSpPr txBox="1">
          <a:spLocks noChangeArrowheads="1"/>
        </xdr:cNvSpPr>
      </xdr:nvSpPr>
      <xdr:spPr>
        <a:xfrm>
          <a:off x="180975" y="285750"/>
          <a:ext cx="4238625" cy="361950"/>
        </a:xfrm>
        <a:prstGeom prst="rect">
          <a:avLst/>
        </a:prstGeom>
        <a:noFill/>
        <a:ln w="9525" cmpd="sng">
          <a:noFill/>
        </a:ln>
      </xdr:spPr>
      <xdr:txBody>
        <a:bodyPr vertOverflow="clip" wrap="square" lIns="36576" tIns="27432" rIns="36576" bIns="0"/>
        <a:p>
          <a:pPr algn="ctr">
            <a:defRPr/>
          </a:pPr>
          <a:r>
            <a:rPr lang="en-US" cap="none" sz="1100" b="1" i="0" u="none" baseline="0">
              <a:solidFill>
                <a:srgbClr val="000000"/>
              </a:solidFill>
              <a:latin typeface="Arial"/>
              <a:ea typeface="Arial"/>
              <a:cs typeface="Arial"/>
            </a:rPr>
            <a:t>Durchschnittliches Jahresnettoeinkommen einer 
ledigen, kinderlosen Lehrkraft in Berlin (Stand 10.2018)</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8</xdr:col>
      <xdr:colOff>285750</xdr:colOff>
      <xdr:row>4</xdr:row>
      <xdr:rowOff>304800</xdr:rowOff>
    </xdr:to>
    <xdr:sp>
      <xdr:nvSpPr>
        <xdr:cNvPr id="1" name="Rectangle 6"/>
        <xdr:cNvSpPr>
          <a:spLocks/>
        </xdr:cNvSpPr>
      </xdr:nvSpPr>
      <xdr:spPr>
        <a:xfrm>
          <a:off x="9525" y="9525"/>
          <a:ext cx="5534025" cy="3790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152400</xdr:colOff>
      <xdr:row>0</xdr:row>
      <xdr:rowOff>200025</xdr:rowOff>
    </xdr:from>
    <xdr:to>
      <xdr:col>5</xdr:col>
      <xdr:colOff>704850</xdr:colOff>
      <xdr:row>4</xdr:row>
      <xdr:rowOff>161925</xdr:rowOff>
    </xdr:to>
    <xdr:graphicFrame>
      <xdr:nvGraphicFramePr>
        <xdr:cNvPr id="2" name="Diagramm 1"/>
        <xdr:cNvGraphicFramePr/>
      </xdr:nvGraphicFramePr>
      <xdr:xfrm>
        <a:off x="152400" y="200025"/>
        <a:ext cx="4343400" cy="3457575"/>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3</xdr:row>
      <xdr:rowOff>847725</xdr:rowOff>
    </xdr:from>
    <xdr:to>
      <xdr:col>1</xdr:col>
      <xdr:colOff>257175</xdr:colOff>
      <xdr:row>4</xdr:row>
      <xdr:rowOff>133350</xdr:rowOff>
    </xdr:to>
    <xdr:sp>
      <xdr:nvSpPr>
        <xdr:cNvPr id="3" name="Text Box 2"/>
        <xdr:cNvSpPr txBox="1">
          <a:spLocks noChangeArrowheads="1"/>
        </xdr:cNvSpPr>
      </xdr:nvSpPr>
      <xdr:spPr>
        <a:xfrm>
          <a:off x="219075" y="3438525"/>
          <a:ext cx="1257300" cy="190500"/>
        </a:xfrm>
        <a:prstGeom prst="rect">
          <a:avLst/>
        </a:prstGeom>
        <a:noFill/>
        <a:ln w="9525" cmpd="sng">
          <a:noFill/>
        </a:ln>
      </xdr:spPr>
      <xdr:txBody>
        <a:bodyPr vertOverflow="clip" wrap="square" lIns="27432" tIns="22860" rIns="0" bIns="0"/>
        <a:p>
          <a:pPr algn="l">
            <a:defRPr/>
          </a:pPr>
          <a:r>
            <a:rPr lang="en-US" cap="none" sz="1000" b="1" i="1" u="none" baseline="0">
              <a:solidFill>
                <a:srgbClr val="000000"/>
              </a:solidFill>
              <a:latin typeface="Arial"/>
              <a:ea typeface="Arial"/>
              <a:cs typeface="Arial"/>
            </a:rPr>
            <a:t>© 2018 Bildet Berlin!</a:t>
          </a:r>
        </a:p>
      </xdr:txBody>
    </xdr:sp>
    <xdr:clientData/>
  </xdr:twoCellAnchor>
  <xdr:twoCellAnchor>
    <xdr:from>
      <xdr:col>0</xdr:col>
      <xdr:colOff>180975</xdr:colOff>
      <xdr:row>0</xdr:row>
      <xdr:rowOff>285750</xdr:rowOff>
    </xdr:from>
    <xdr:to>
      <xdr:col>5</xdr:col>
      <xdr:colOff>628650</xdr:colOff>
      <xdr:row>0</xdr:row>
      <xdr:rowOff>657225</xdr:rowOff>
    </xdr:to>
    <xdr:sp>
      <xdr:nvSpPr>
        <xdr:cNvPr id="4" name="Text Box 5"/>
        <xdr:cNvSpPr txBox="1">
          <a:spLocks noChangeArrowheads="1"/>
        </xdr:cNvSpPr>
      </xdr:nvSpPr>
      <xdr:spPr>
        <a:xfrm>
          <a:off x="180975" y="285750"/>
          <a:ext cx="4238625" cy="361950"/>
        </a:xfrm>
        <a:prstGeom prst="rect">
          <a:avLst/>
        </a:prstGeom>
        <a:noFill/>
        <a:ln w="9525" cmpd="sng">
          <a:noFill/>
        </a:ln>
      </xdr:spPr>
      <xdr:txBody>
        <a:bodyPr vertOverflow="clip" wrap="square" lIns="36576" tIns="27432" rIns="36576" bIns="0"/>
        <a:p>
          <a:pPr algn="ctr">
            <a:defRPr/>
          </a:pPr>
          <a:r>
            <a:rPr lang="en-US" cap="none" sz="1100" b="1" i="0" u="none" baseline="0">
              <a:solidFill>
                <a:srgbClr val="000000"/>
              </a:solidFill>
              <a:latin typeface="Arial"/>
              <a:ea typeface="Arial"/>
              <a:cs typeface="Arial"/>
            </a:rPr>
            <a:t>Durchschnittliches Jahresnettoeinkommen einer 
ledigen, kinderlosen Lehrkraft in Berlin (Stand 10.2018)</a:t>
          </a:r>
        </a:p>
      </xdr:txBody>
    </xdr:sp>
    <xdr:clientData/>
  </xdr:twoCellAnchor>
  <xdr:twoCellAnchor>
    <xdr:from>
      <xdr:col>1</xdr:col>
      <xdr:colOff>847725</xdr:colOff>
      <xdr:row>3</xdr:row>
      <xdr:rowOff>695325</xdr:rowOff>
    </xdr:from>
    <xdr:to>
      <xdr:col>5</xdr:col>
      <xdr:colOff>685800</xdr:colOff>
      <xdr:row>4</xdr:row>
      <xdr:rowOff>152400</xdr:rowOff>
    </xdr:to>
    <xdr:sp>
      <xdr:nvSpPr>
        <xdr:cNvPr id="5" name="Textfeld 5"/>
        <xdr:cNvSpPr txBox="1">
          <a:spLocks noChangeArrowheads="1"/>
        </xdr:cNvSpPr>
      </xdr:nvSpPr>
      <xdr:spPr>
        <a:xfrm>
          <a:off x="2066925" y="3286125"/>
          <a:ext cx="2409825" cy="361950"/>
        </a:xfrm>
        <a:prstGeom prst="rect">
          <a:avLst/>
        </a:prstGeom>
        <a:noFill/>
        <a:ln w="9525" cmpd="sng">
          <a:noFill/>
        </a:ln>
      </xdr:spPr>
      <xdr:txBody>
        <a:bodyPr vertOverflow="clip" wrap="square"/>
        <a:p>
          <a:pPr algn="l">
            <a:defRPr/>
          </a:pPr>
          <a:r>
            <a:rPr lang="en-US" cap="none" sz="800" b="1" i="1" u="none" baseline="0">
              <a:solidFill>
                <a:srgbClr val="000000"/>
              </a:solidFill>
              <a:latin typeface="Calibri"/>
              <a:ea typeface="Calibri"/>
              <a:cs typeface="Calibri"/>
            </a:rPr>
            <a:t>Die Einführung einer</a:t>
          </a:r>
          <a:r>
            <a:rPr lang="en-US" cap="none" sz="800" b="1" i="1" u="none" baseline="0">
              <a:solidFill>
                <a:srgbClr val="000000"/>
              </a:solidFill>
              <a:latin typeface="Calibri"/>
              <a:ea typeface="Calibri"/>
              <a:cs typeface="Calibri"/>
            </a:rPr>
            <a:t> 6. Erfahrungsstufe 2018 ist nicht 
geeignet, die Differenz zu Beamten auszugleichen.</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0.80925</cdr:x>
      <cdr:y>0.17825</cdr:y>
    </cdr:from>
    <cdr:to>
      <cdr:x>0.962</cdr:x>
      <cdr:y>0.266</cdr:y>
    </cdr:to>
    <cdr:sp fLocksText="0">
      <cdr:nvSpPr>
        <cdr:cNvPr id="1" name="Text Box 2"/>
        <cdr:cNvSpPr txBox="1">
          <a:spLocks noChangeArrowheads="1"/>
        </cdr:cNvSpPr>
      </cdr:nvSpPr>
      <cdr:spPr>
        <a:xfrm>
          <a:off x="5381625" y="885825"/>
          <a:ext cx="1019175" cy="438150"/>
        </a:xfrm>
        <a:prstGeom prst="rect">
          <a:avLst/>
        </a:prstGeom>
        <a:noFill/>
        <a:ln w="9525" cmpd="sng">
          <a:noFill/>
        </a:ln>
      </cdr:spPr>
      <cdr:txBody>
        <a:bodyPr vertOverflow="clip" wrap="square" lIns="0" tIns="27432" rIns="36576" bIns="0"/>
        <a:p>
          <a:pPr algn="r">
            <a:defRPr/>
          </a:pPr>
          <a:r>
            <a:rPr lang="en-US" cap="none" sz="1200" b="1" i="0" u="none" baseline="0">
              <a:solidFill>
                <a:srgbClr val="FF9900"/>
              </a:solidFill>
              <a:latin typeface="Arial"/>
              <a:ea typeface="Arial"/>
              <a:cs typeface="Arial"/>
            </a:rPr>
            <a:t>Beamte A13 
</a:t>
          </a:r>
          <a:r>
            <a:rPr lang="en-US" cap="none" sz="1200" b="1" i="0" u="none" baseline="0">
              <a:solidFill>
                <a:srgbClr val="FF9900"/>
              </a:solidFill>
              <a:latin typeface="Arial"/>
              <a:ea typeface="Arial"/>
              <a:cs typeface="Arial"/>
            </a:rPr>
            <a:t>Berlin</a:t>
          </a:r>
        </a:p>
      </cdr:txBody>
    </cdr:sp>
  </cdr:relSizeAnchor>
  <cdr:relSizeAnchor xmlns:cdr="http://schemas.openxmlformats.org/drawingml/2006/chartDrawing">
    <cdr:from>
      <cdr:x>0.438</cdr:x>
      <cdr:y>0.667</cdr:y>
    </cdr:from>
    <cdr:to>
      <cdr:x>0.97175</cdr:x>
      <cdr:y>0.73775</cdr:y>
    </cdr:to>
    <cdr:sp fLocksText="0">
      <cdr:nvSpPr>
        <cdr:cNvPr id="2" name="Text Box 1"/>
        <cdr:cNvSpPr txBox="1">
          <a:spLocks noChangeArrowheads="1"/>
        </cdr:cNvSpPr>
      </cdr:nvSpPr>
      <cdr:spPr>
        <a:xfrm>
          <a:off x="2914650" y="3314700"/>
          <a:ext cx="3552825" cy="352425"/>
        </a:xfrm>
        <a:prstGeom prst="rect">
          <a:avLst/>
        </a:prstGeom>
        <a:noFill/>
        <a:ln w="9525" cmpd="sng">
          <a:noFill/>
        </a:ln>
      </cdr:spPr>
      <cdr:txBody>
        <a:bodyPr vertOverflow="clip" wrap="square" lIns="0" tIns="27432" rIns="36576" bIns="0"/>
        <a:p>
          <a:pPr algn="r">
            <a:defRPr/>
          </a:pPr>
          <a:r>
            <a:rPr lang="en-US" cap="none" u="none" baseline="0">
              <a:latin typeface="Arial"/>
              <a:ea typeface="Arial"/>
              <a:cs typeface="Arial"/>
            </a:rPr>
            <a:t/>
          </a:r>
        </a:p>
      </cdr:txBody>
    </cdr:sp>
  </cdr:relSizeAnchor>
  <cdr:relSizeAnchor xmlns:cdr="http://schemas.openxmlformats.org/drawingml/2006/chartDrawing">
    <cdr:from>
      <cdr:x>0.20175</cdr:x>
      <cdr:y>0.7405</cdr:y>
    </cdr:from>
    <cdr:to>
      <cdr:x>0.99425</cdr:x>
      <cdr:y>0.8275</cdr:y>
    </cdr:to>
    <cdr:sp fLocksText="0">
      <cdr:nvSpPr>
        <cdr:cNvPr id="3" name="Text Box 8"/>
        <cdr:cNvSpPr txBox="1">
          <a:spLocks noChangeArrowheads="1"/>
        </cdr:cNvSpPr>
      </cdr:nvSpPr>
      <cdr:spPr>
        <a:xfrm>
          <a:off x="1343025" y="3676650"/>
          <a:ext cx="5276850" cy="428625"/>
        </a:xfrm>
        <a:prstGeom prst="rect">
          <a:avLst/>
        </a:prstGeom>
        <a:noFill/>
        <a:ln w="9525" cmpd="sng">
          <a:noFill/>
        </a:ln>
      </cdr:spPr>
      <cdr:txBody>
        <a:bodyPr vertOverflow="clip" wrap="square" lIns="27432" tIns="27432" rIns="0" bIns="0"/>
        <a:p>
          <a:pPr algn="l">
            <a:defRPr/>
          </a:pPr>
          <a:r>
            <a:rPr lang="en-US" cap="none" sz="1200" b="1" i="0" u="none" baseline="0">
              <a:solidFill>
                <a:srgbClr val="000000"/>
              </a:solidFill>
              <a:latin typeface="Arial"/>
              <a:ea typeface="Arial"/>
              <a:cs typeface="Arial"/>
            </a:rPr>
            <a:t>Angestellte TV-L E13</a:t>
          </a:r>
          <a:r>
            <a:rPr lang="en-US" cap="none" sz="2000" b="1" i="0" u="none" baseline="0">
              <a:solidFill>
                <a:srgbClr val="808080"/>
              </a:solidFill>
              <a:latin typeface="Arial"/>
              <a:ea typeface="Arial"/>
              <a:cs typeface="Arial"/>
            </a:rPr>
            <a:t>   </a:t>
          </a:r>
          <a:r>
            <a:rPr lang="en-US" cap="none" sz="2300" b="1" i="0" u="none" baseline="0">
              <a:solidFill>
                <a:srgbClr val="808080"/>
              </a:solidFill>
              <a:latin typeface="Arial"/>
              <a:ea typeface="Arial"/>
              <a:cs typeface="Arial"/>
            </a:rPr>
            <a:t></a:t>
          </a:r>
          <a:r>
            <a:rPr lang="en-US" cap="none" sz="2300" b="1" i="0" u="none" baseline="0">
              <a:solidFill>
                <a:srgbClr val="808080"/>
              </a:solidFill>
              <a:latin typeface="Arial"/>
              <a:ea typeface="Arial"/>
              <a:cs typeface="Arial"/>
            </a:rPr>
            <a:t></a:t>
          </a:r>
          <a:r>
            <a:rPr lang="en-US" cap="none" sz="2000" b="1" i="0" u="none" baseline="0">
              <a:solidFill>
                <a:srgbClr val="808080"/>
              </a:solidFill>
              <a:latin typeface="Arial"/>
              <a:ea typeface="Arial"/>
              <a:cs typeface="Arial"/>
            </a:rPr>
            <a:t> </a:t>
          </a:r>
          <a:r>
            <a:rPr lang="en-US" cap="none" sz="1200" b="1" i="0" u="none" baseline="0">
              <a:solidFill>
                <a:srgbClr val="808080"/>
              </a:solidFill>
              <a:latin typeface="Arial"/>
              <a:ea typeface="Arial"/>
              <a:cs typeface="Arial"/>
            </a:rPr>
            <a:t>mit aktueller Zulage in Berlin (Stufe 5)</a:t>
          </a:r>
          <a:r>
            <a:rPr lang="en-US" cap="none" sz="1200" b="0" i="0" u="none" baseline="0">
              <a:solidFill>
                <a:srgbClr val="808080"/>
              </a:solidFill>
              <a:latin typeface="Arial"/>
              <a:ea typeface="Arial"/>
              <a:cs typeface="Arial"/>
            </a:rPr>
            <a:t>
</a:t>
          </a:r>
        </a:p>
      </cdr:txBody>
    </cdr:sp>
  </cdr:relSizeAnchor>
  <cdr:relSizeAnchor xmlns:cdr="http://schemas.openxmlformats.org/drawingml/2006/chartDrawing">
    <cdr:from>
      <cdr:x>0.522</cdr:x>
      <cdr:y>0.31575</cdr:y>
    </cdr:from>
    <cdr:to>
      <cdr:x>0.96725</cdr:x>
      <cdr:y>0.40075</cdr:y>
    </cdr:to>
    <cdr:sp fLocksText="0">
      <cdr:nvSpPr>
        <cdr:cNvPr id="4" name="Text Box 11"/>
        <cdr:cNvSpPr txBox="1">
          <a:spLocks noChangeArrowheads="1"/>
        </cdr:cNvSpPr>
      </cdr:nvSpPr>
      <cdr:spPr>
        <a:xfrm>
          <a:off x="3467100" y="1562100"/>
          <a:ext cx="2962275" cy="419100"/>
        </a:xfrm>
        <a:prstGeom prst="rect">
          <a:avLst/>
        </a:prstGeom>
        <a:noFill/>
        <a:ln w="9525" cmpd="sng">
          <a:noFill/>
        </a:ln>
      </cdr:spPr>
      <cdr:txBody>
        <a:bodyPr vertOverflow="clip" wrap="square" lIns="0" tIns="27432" rIns="36576" bIns="0"/>
        <a:p>
          <a:pPr algn="r">
            <a:defRPr/>
          </a:pPr>
          <a:r>
            <a:rPr lang="en-US" cap="none" sz="1200" b="1" i="0" u="none" baseline="0">
              <a:solidFill>
                <a:srgbClr val="339966"/>
              </a:solidFill>
              <a:latin typeface="Arial"/>
              <a:ea typeface="Arial"/>
              <a:cs typeface="Arial"/>
            </a:rPr>
            <a:t>Angestellte TV-L E13 mit maximal 
möglichen Zulagen gemäß TV-L </a:t>
          </a:r>
          <a:r>
            <a:rPr lang="en-US" cap="none" sz="1200" b="1" i="0" u="none" baseline="0">
              <a:solidFill>
                <a:srgbClr val="339966"/>
              </a:solidFill>
              <a:latin typeface="Arial"/>
              <a:ea typeface="Arial"/>
              <a:cs typeface="Arial"/>
            </a:rPr>
            <a:t>§</a:t>
          </a:r>
          <a:r>
            <a:rPr lang="en-US" cap="none" sz="1200" b="1" i="0" u="none" baseline="0">
              <a:solidFill>
                <a:srgbClr val="339966"/>
              </a:solidFill>
              <a:latin typeface="Arial"/>
              <a:ea typeface="Arial"/>
              <a:cs typeface="Arial"/>
            </a:rPr>
            <a:t>16 (5)</a:t>
          </a:r>
        </a:p>
      </cdr:txBody>
    </cdr:sp>
  </cdr:relSizeAnchor>
  <cdr:relSizeAnchor xmlns:cdr="http://schemas.openxmlformats.org/drawingml/2006/chartDrawing">
    <cdr:from>
      <cdr:x>0.01775</cdr:x>
      <cdr:y>0.934</cdr:y>
    </cdr:from>
    <cdr:to>
      <cdr:x>0.26275</cdr:x>
      <cdr:y>0.98475</cdr:y>
    </cdr:to>
    <cdr:sp>
      <cdr:nvSpPr>
        <cdr:cNvPr id="5" name="Text Box 13"/>
        <cdr:cNvSpPr txBox="1">
          <a:spLocks noChangeArrowheads="1"/>
        </cdr:cNvSpPr>
      </cdr:nvSpPr>
      <cdr:spPr>
        <a:xfrm>
          <a:off x="114300" y="4638675"/>
          <a:ext cx="1628775" cy="247650"/>
        </a:xfrm>
        <a:prstGeom prst="rect">
          <a:avLst/>
        </a:prstGeom>
        <a:noFill/>
        <a:ln w="9525" cmpd="sng">
          <a:noFill/>
        </a:ln>
      </cdr:spPr>
      <cdr:txBody>
        <a:bodyPr vertOverflow="clip" wrap="square" lIns="36576" tIns="22860" rIns="0" bIns="0"/>
        <a:p>
          <a:pPr algn="l">
            <a:defRPr/>
          </a:pPr>
          <a:r>
            <a:rPr lang="en-US" cap="none" sz="1200" b="1" i="1" u="none" baseline="0">
              <a:solidFill>
                <a:srgbClr val="000000"/>
              </a:solidFill>
              <a:latin typeface="Arial"/>
              <a:ea typeface="Arial"/>
              <a:cs typeface="Arial"/>
            </a:rPr>
            <a:t>© 2018 Bildet Berlin!</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9</xdr:col>
      <xdr:colOff>9525</xdr:colOff>
      <xdr:row>2</xdr:row>
      <xdr:rowOff>1295400</xdr:rowOff>
    </xdr:to>
    <xdr:sp>
      <xdr:nvSpPr>
        <xdr:cNvPr id="1" name="Rectangle 17"/>
        <xdr:cNvSpPr>
          <a:spLocks/>
        </xdr:cNvSpPr>
      </xdr:nvSpPr>
      <xdr:spPr>
        <a:xfrm>
          <a:off x="9525" y="9525"/>
          <a:ext cx="7058025" cy="53054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0</xdr:row>
      <xdr:rowOff>161925</xdr:rowOff>
    </xdr:from>
    <xdr:to>
      <xdr:col>8</xdr:col>
      <xdr:colOff>523875</xdr:colOff>
      <xdr:row>2</xdr:row>
      <xdr:rowOff>1114425</xdr:rowOff>
    </xdr:to>
    <xdr:graphicFrame>
      <xdr:nvGraphicFramePr>
        <xdr:cNvPr id="2" name="Diagramm 2"/>
        <xdr:cNvGraphicFramePr/>
      </xdr:nvGraphicFramePr>
      <xdr:xfrm>
        <a:off x="161925" y="161925"/>
        <a:ext cx="6657975" cy="4972050"/>
      </xdr:xfrm>
      <a:graphic>
        <a:graphicData uri="http://schemas.openxmlformats.org/drawingml/2006/chart">
          <c:chart xmlns:c="http://schemas.openxmlformats.org/drawingml/2006/chart" r:id="rId1"/>
        </a:graphicData>
      </a:graphic>
    </xdr:graphicFrame>
    <xdr:clientData/>
  </xdr:twoCellAnchor>
  <xdr:twoCellAnchor>
    <xdr:from>
      <xdr:col>1</xdr:col>
      <xdr:colOff>542925</xdr:colOff>
      <xdr:row>0</xdr:row>
      <xdr:rowOff>942975</xdr:rowOff>
    </xdr:from>
    <xdr:to>
      <xdr:col>6</xdr:col>
      <xdr:colOff>114300</xdr:colOff>
      <xdr:row>0</xdr:row>
      <xdr:rowOff>1638300</xdr:rowOff>
    </xdr:to>
    <xdr:sp fLocksText="0">
      <xdr:nvSpPr>
        <xdr:cNvPr id="3" name="Text Box 9"/>
        <xdr:cNvSpPr txBox="1">
          <a:spLocks noChangeArrowheads="1"/>
        </xdr:cNvSpPr>
      </xdr:nvSpPr>
      <xdr:spPr>
        <a:xfrm>
          <a:off x="1304925" y="942975"/>
          <a:ext cx="3733800" cy="685800"/>
        </a:xfrm>
        <a:prstGeom prst="rect">
          <a:avLst/>
        </a:prstGeom>
        <a:noFill/>
        <a:ln w="9525" cmpd="sng">
          <a:noFill/>
        </a:ln>
      </xdr:spPr>
      <xdr:txBody>
        <a:bodyPr vertOverflow="clip" wrap="square" lIns="27432" tIns="27432" rIns="0" bIns="0"/>
        <a:p>
          <a:pPr algn="l">
            <a:defRPr/>
          </a:pPr>
          <a:r>
            <a:rPr lang="en-US" cap="none" sz="1050" b="0" i="0" u="none" baseline="0">
              <a:solidFill>
                <a:srgbClr val="808080"/>
              </a:solidFill>
              <a:latin typeface="Arial"/>
              <a:ea typeface="Arial"/>
              <a:cs typeface="Arial"/>
            </a:rPr>
            <a:t>Angestellte </a:t>
          </a:r>
          <a:r>
            <a:rPr lang="en-US" cap="none" sz="1050" b="0" i="0" u="sng" baseline="0">
              <a:solidFill>
                <a:srgbClr val="808080"/>
              </a:solidFill>
              <a:latin typeface="Arial"/>
              <a:ea typeface="Arial"/>
              <a:cs typeface="Arial"/>
            </a:rPr>
            <a:t>mit</a:t>
          </a:r>
          <a:r>
            <a:rPr lang="en-US" cap="none" sz="1050" b="0" i="0" u="none" baseline="0">
              <a:solidFill>
                <a:srgbClr val="808080"/>
              </a:solidFill>
              <a:latin typeface="Arial"/>
              <a:ea typeface="Arial"/>
              <a:cs typeface="Arial"/>
            </a:rPr>
            <a:t> zurzeit gewährter </a:t>
          </a:r>
          <a:r>
            <a:rPr lang="en-US" cap="none" sz="1050" b="0" i="0" u="sng" baseline="0">
              <a:solidFill>
                <a:srgbClr val="808080"/>
              </a:solidFill>
              <a:latin typeface="Arial"/>
              <a:ea typeface="Arial"/>
              <a:cs typeface="Arial"/>
            </a:rPr>
            <a:t>Zulage</a:t>
          </a:r>
          <a:r>
            <a:rPr lang="en-US" cap="none" sz="1050" b="0" i="0" u="none" baseline="0">
              <a:solidFill>
                <a:srgbClr val="808080"/>
              </a:solidFill>
              <a:latin typeface="Arial"/>
              <a:ea typeface="Arial"/>
              <a:cs typeface="Arial"/>
            </a:rPr>
            <a:t> verdienen 4 Jahre lang mehr, nach 9 Jahren ist die Differenz ausgeglichen, dann verdie-nen Beamte weitere 31 Jahre lang mehr.</a:t>
          </a:r>
        </a:p>
      </xdr:txBody>
    </xdr:sp>
    <xdr:clientData fLocksWithSheet="0"/>
  </xdr:twoCellAnchor>
  <xdr:twoCellAnchor>
    <xdr:from>
      <xdr:col>2</xdr:col>
      <xdr:colOff>66675</xdr:colOff>
      <xdr:row>0</xdr:row>
      <xdr:rowOff>1514475</xdr:rowOff>
    </xdr:from>
    <xdr:to>
      <xdr:col>2</xdr:col>
      <xdr:colOff>266700</xdr:colOff>
      <xdr:row>1</xdr:row>
      <xdr:rowOff>209550</xdr:rowOff>
    </xdr:to>
    <xdr:sp>
      <xdr:nvSpPr>
        <xdr:cNvPr id="4" name="Line 10"/>
        <xdr:cNvSpPr>
          <a:spLocks/>
        </xdr:cNvSpPr>
      </xdr:nvSpPr>
      <xdr:spPr>
        <a:xfrm>
          <a:off x="1590675" y="1514475"/>
          <a:ext cx="200025" cy="876300"/>
        </a:xfrm>
        <a:prstGeom prst="line">
          <a:avLst/>
        </a:prstGeom>
        <a:noFill/>
        <a:ln w="19050" cmpd="sng">
          <a:solidFill>
            <a:srgbClr val="80808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361950</xdr:colOff>
      <xdr:row>1</xdr:row>
      <xdr:rowOff>1114425</xdr:rowOff>
    </xdr:from>
    <xdr:to>
      <xdr:col>7</xdr:col>
      <xdr:colOff>590550</xdr:colOff>
      <xdr:row>1</xdr:row>
      <xdr:rowOff>1466850</xdr:rowOff>
    </xdr:to>
    <xdr:sp fLocksText="0">
      <xdr:nvSpPr>
        <xdr:cNvPr id="5" name="Text Box 12"/>
        <xdr:cNvSpPr txBox="1">
          <a:spLocks noChangeArrowheads="1"/>
        </xdr:cNvSpPr>
      </xdr:nvSpPr>
      <xdr:spPr>
        <a:xfrm>
          <a:off x="2647950" y="3295650"/>
          <a:ext cx="3209925" cy="352425"/>
        </a:xfrm>
        <a:prstGeom prst="rect">
          <a:avLst/>
        </a:prstGeom>
        <a:noFill/>
        <a:ln w="9525" cmpd="sng">
          <a:noFill/>
        </a:ln>
      </xdr:spPr>
      <xdr:txBody>
        <a:bodyPr vertOverflow="clip" wrap="square" lIns="0" tIns="27432" rIns="27432" bIns="0"/>
        <a:p>
          <a:pPr algn="l">
            <a:defRPr/>
          </a:pPr>
          <a:r>
            <a:rPr lang="en-US" cap="none" sz="1050" b="0" i="0" u="none" baseline="0">
              <a:solidFill>
                <a:srgbClr val="000000"/>
              </a:solidFill>
              <a:latin typeface="Arial"/>
              <a:ea typeface="Arial"/>
              <a:cs typeface="Arial"/>
            </a:rPr>
            <a:t>Das tariflich abgesicherte Nettoeinkommen Angestellter reicht </a:t>
          </a:r>
          <a:r>
            <a:rPr lang="en-US" cap="none" sz="1050" b="0" i="0" u="sng" baseline="0">
              <a:solidFill>
                <a:srgbClr val="000000"/>
              </a:solidFill>
              <a:latin typeface="Arial"/>
              <a:ea typeface="Arial"/>
              <a:cs typeface="Arial"/>
            </a:rPr>
            <a:t>niemals</a:t>
          </a:r>
          <a:r>
            <a:rPr lang="en-US" cap="none" sz="1050" b="0" i="0" u="none" baseline="0">
              <a:solidFill>
                <a:srgbClr val="000000"/>
              </a:solidFill>
              <a:latin typeface="Arial"/>
              <a:ea typeface="Arial"/>
              <a:cs typeface="Arial"/>
            </a:rPr>
            <a:t> an das von Beamten heran. </a:t>
          </a:r>
        </a:p>
      </xdr:txBody>
    </xdr:sp>
    <xdr:clientData fLocksWithSheet="0"/>
  </xdr:twoCellAnchor>
  <xdr:twoCellAnchor>
    <xdr:from>
      <xdr:col>2</xdr:col>
      <xdr:colOff>276225</xdr:colOff>
      <xdr:row>0</xdr:row>
      <xdr:rowOff>1514475</xdr:rowOff>
    </xdr:from>
    <xdr:to>
      <xdr:col>3</xdr:col>
      <xdr:colOff>9525</xdr:colOff>
      <xdr:row>0</xdr:row>
      <xdr:rowOff>2114550</xdr:rowOff>
    </xdr:to>
    <xdr:sp>
      <xdr:nvSpPr>
        <xdr:cNvPr id="6" name="Line 10"/>
        <xdr:cNvSpPr>
          <a:spLocks/>
        </xdr:cNvSpPr>
      </xdr:nvSpPr>
      <xdr:spPr>
        <a:xfrm>
          <a:off x="1800225" y="1514475"/>
          <a:ext cx="495300" cy="600075"/>
        </a:xfrm>
        <a:prstGeom prst="line">
          <a:avLst/>
        </a:prstGeom>
        <a:noFill/>
        <a:ln w="19050" cmpd="sng">
          <a:solidFill>
            <a:srgbClr val="80808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314325</xdr:colOff>
      <xdr:row>1</xdr:row>
      <xdr:rowOff>257175</xdr:rowOff>
    </xdr:from>
    <xdr:to>
      <xdr:col>4</xdr:col>
      <xdr:colOff>447675</xdr:colOff>
      <xdr:row>1</xdr:row>
      <xdr:rowOff>400050</xdr:rowOff>
    </xdr:to>
    <xdr:sp>
      <xdr:nvSpPr>
        <xdr:cNvPr id="7" name="Line 10"/>
        <xdr:cNvSpPr>
          <a:spLocks/>
        </xdr:cNvSpPr>
      </xdr:nvSpPr>
      <xdr:spPr>
        <a:xfrm flipH="1" flipV="1">
          <a:off x="3362325" y="2438400"/>
          <a:ext cx="133350" cy="142875"/>
        </a:xfrm>
        <a:prstGeom prst="line">
          <a:avLst/>
        </a:prstGeom>
        <a:noFill/>
        <a:ln w="19050" cmpd="sng">
          <a:solidFill>
            <a:srgbClr val="80808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381000</xdr:colOff>
      <xdr:row>1</xdr:row>
      <xdr:rowOff>400050</xdr:rowOff>
    </xdr:from>
    <xdr:to>
      <xdr:col>8</xdr:col>
      <xdr:colOff>304800</xdr:colOff>
      <xdr:row>1</xdr:row>
      <xdr:rowOff>752475</xdr:rowOff>
    </xdr:to>
    <xdr:sp fLocksText="0">
      <xdr:nvSpPr>
        <xdr:cNvPr id="8" name="Text Box 9"/>
        <xdr:cNvSpPr txBox="1">
          <a:spLocks noChangeArrowheads="1"/>
        </xdr:cNvSpPr>
      </xdr:nvSpPr>
      <xdr:spPr>
        <a:xfrm>
          <a:off x="3429000" y="2581275"/>
          <a:ext cx="3171825" cy="352425"/>
        </a:xfrm>
        <a:prstGeom prst="rect">
          <a:avLst/>
        </a:prstGeom>
        <a:noFill/>
        <a:ln w="9525" cmpd="sng">
          <a:noFill/>
        </a:ln>
      </xdr:spPr>
      <xdr:txBody>
        <a:bodyPr vertOverflow="clip" wrap="square" lIns="27432" tIns="27432" rIns="0" bIns="0"/>
        <a:p>
          <a:pPr algn="l">
            <a:defRPr/>
          </a:pPr>
          <a:r>
            <a:rPr lang="en-US" cap="none" sz="1050" b="0" i="0" u="none" baseline="0">
              <a:solidFill>
                <a:srgbClr val="808080"/>
              </a:solidFill>
              <a:latin typeface="Arial"/>
              <a:ea typeface="Arial"/>
              <a:cs typeface="Arial"/>
            </a:rPr>
            <a:t>Die Einführung einer 6. Erfahrungsstufe 2018 ist nicht geeignet, die Differenz zu Beamten auszugleichen.</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ok-bv.de/zahlen/gesundheitswesen/index_00529.html" TargetMode="External" /><Relationship Id="rId2" Type="http://schemas.openxmlformats.org/officeDocument/2006/relationships/hyperlink" Target="http://www.lohn-info.de/beitragsberechnung.html"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ok-bv.de/zahlen/gesundheitswesen/index_00529.html" TargetMode="External" /><Relationship Id="rId2" Type="http://schemas.openxmlformats.org/officeDocument/2006/relationships/hyperlink" Target="http://www.lohn-info.de/beitragsberechnung.html" TargetMode="External" /><Relationship Id="rId3" Type="http://schemas.openxmlformats.org/officeDocument/2006/relationships/hyperlink" Target="http://www.krankenkassen.de/gesetzliche-krankenkassen/system-gesetzliche-krankenversicherung/sozialversicherung-rechengroessen-beitragsbemessungsgrenze-versicherungspflichtgrenze/rechengroessen-2012/" TargetMode="Externa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brutto-netto-rechner.info/" TargetMode="Externa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brutto-netto-rechner.info/" TargetMode="Externa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esoldung-berlin.de/besoldung_in_berlin/familienzuschlag_in_berlin"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ok-bv.de/zahlen/gesundheitswesen/index_00529.html" TargetMode="External" /><Relationship Id="rId2" Type="http://schemas.openxmlformats.org/officeDocument/2006/relationships/hyperlink" Target="http://www.lohn-info.de/beitragsberechnung.html"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ok-bv.de/zahlen/gesundheitswesen/index_00529.html" TargetMode="External" /><Relationship Id="rId2" Type="http://schemas.openxmlformats.org/officeDocument/2006/relationships/hyperlink" Target="http://www.lohn-info.de/beitragsberechnung.html"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ok-bv.de/zahlen/gesundheitswesen/index_00529.html" TargetMode="External" /><Relationship Id="rId2" Type="http://schemas.openxmlformats.org/officeDocument/2006/relationships/hyperlink" Target="http://www.lohn-info.de/beitragsberechnung.html"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9"/>
  <sheetViews>
    <sheetView zoomScale="170" zoomScaleNormal="170" zoomScalePageLayoutView="0" workbookViewId="0" topLeftCell="A10">
      <selection activeCell="A21" sqref="A21"/>
    </sheetView>
  </sheetViews>
  <sheetFormatPr defaultColWidth="11.421875" defaultRowHeight="12.75"/>
  <cols>
    <col min="1" max="1" width="18.00390625" style="0" customWidth="1"/>
    <col min="2" max="2" width="8.57421875" style="0" customWidth="1"/>
    <col min="3" max="3" width="9.00390625" style="0" customWidth="1"/>
    <col min="4" max="4" width="9.28125" style="0" customWidth="1"/>
    <col min="5" max="5" width="6.57421875" style="0" customWidth="1"/>
    <col min="6" max="6" width="5.421875" style="0" customWidth="1"/>
    <col min="7" max="7" width="8.28125" style="0" customWidth="1"/>
    <col min="8" max="9" width="4.28125" style="0" customWidth="1"/>
    <col min="10" max="10" width="8.28125" style="0" customWidth="1"/>
    <col min="11" max="11" width="10.28125" style="0" customWidth="1"/>
    <col min="12" max="12" width="4.28125" style="5" customWidth="1"/>
    <col min="13" max="13" width="3.7109375" style="0" customWidth="1"/>
    <col min="14" max="14" width="3.421875" style="0" customWidth="1"/>
  </cols>
  <sheetData>
    <row r="1" spans="5:9" ht="27.75" customHeight="1">
      <c r="E1" s="36"/>
      <c r="F1" s="36"/>
      <c r="G1" s="36"/>
      <c r="H1" s="36"/>
      <c r="I1" s="36"/>
    </row>
    <row r="2" spans="5:9" ht="24.75" customHeight="1">
      <c r="E2" s="36"/>
      <c r="F2" s="36"/>
      <c r="G2" s="36"/>
      <c r="H2" s="36"/>
      <c r="I2" s="36"/>
    </row>
    <row r="3" spans="5:9" ht="34.5" customHeight="1">
      <c r="E3" s="36"/>
      <c r="F3" s="36"/>
      <c r="G3" s="36"/>
      <c r="H3" s="36"/>
      <c r="I3" s="36"/>
    </row>
    <row r="4" spans="5:9" ht="27" customHeight="1">
      <c r="E4" s="36"/>
      <c r="F4" s="36"/>
      <c r="G4" s="36"/>
      <c r="H4" s="36"/>
      <c r="I4" s="36"/>
    </row>
    <row r="5" spans="5:9" ht="37.5" customHeight="1">
      <c r="E5" s="36"/>
      <c r="F5" s="36"/>
      <c r="G5" s="36"/>
      <c r="H5" s="36"/>
      <c r="I5" s="36"/>
    </row>
    <row r="6" spans="5:9" ht="27" customHeight="1">
      <c r="E6" s="36"/>
      <c r="F6" s="36"/>
      <c r="G6" s="36"/>
      <c r="H6" s="36"/>
      <c r="I6" s="36"/>
    </row>
    <row r="7" spans="5:9" ht="24" customHeight="1">
      <c r="E7" s="36"/>
      <c r="F7" s="36"/>
      <c r="G7" s="36"/>
      <c r="H7" s="36"/>
      <c r="I7" s="36"/>
    </row>
    <row r="8" spans="5:9" ht="27" customHeight="1">
      <c r="E8" s="36"/>
      <c r="F8" s="36"/>
      <c r="G8" s="36"/>
      <c r="H8" s="36"/>
      <c r="I8" s="36"/>
    </row>
    <row r="9" spans="5:9" ht="22.5" customHeight="1">
      <c r="E9" s="36"/>
      <c r="F9" s="36"/>
      <c r="G9" s="36"/>
      <c r="H9" s="36"/>
      <c r="I9" s="36"/>
    </row>
    <row r="10" spans="5:9" ht="37.5" customHeight="1">
      <c r="E10" s="36"/>
      <c r="F10" s="36"/>
      <c r="G10" s="36"/>
      <c r="H10" s="36"/>
      <c r="I10" s="36"/>
    </row>
    <row r="11" spans="5:9" ht="21.75" customHeight="1">
      <c r="E11" s="36"/>
      <c r="F11" s="36"/>
      <c r="G11" s="36"/>
      <c r="H11" s="36"/>
      <c r="I11" s="36"/>
    </row>
    <row r="12" ht="24" customHeight="1"/>
    <row r="13" spans="1:12" ht="13.5">
      <c r="A13" s="34" t="s">
        <v>10</v>
      </c>
      <c r="B13" s="43"/>
      <c r="E13" s="5"/>
      <c r="F13" s="37"/>
      <c r="L13"/>
    </row>
    <row r="14" spans="1:13" ht="34.5" customHeight="1">
      <c r="A14" s="78" t="s">
        <v>22</v>
      </c>
      <c r="B14" s="79" t="s">
        <v>28</v>
      </c>
      <c r="C14" s="78" t="s">
        <v>48</v>
      </c>
      <c r="D14" s="80" t="s">
        <v>27</v>
      </c>
      <c r="E14" s="80" t="s">
        <v>172</v>
      </c>
      <c r="F14" s="81" t="s">
        <v>173</v>
      </c>
      <c r="G14" s="182"/>
      <c r="H14" s="184"/>
      <c r="I14" s="182"/>
      <c r="J14" s="182"/>
      <c r="K14" s="184"/>
      <c r="L14" s="182"/>
      <c r="M14" s="185"/>
    </row>
    <row r="15" spans="1:13" s="434" customFormat="1" ht="13.5">
      <c r="A15" s="445" t="s">
        <v>11</v>
      </c>
      <c r="B15" s="421">
        <f>'A13 - Modell'!G47</f>
        <v>39672.22325000001</v>
      </c>
      <c r="C15" s="422"/>
      <c r="D15" s="442"/>
      <c r="E15" s="423"/>
      <c r="F15" s="424"/>
      <c r="G15" s="429"/>
      <c r="H15" s="431"/>
      <c r="I15" s="432"/>
      <c r="L15" s="435"/>
      <c r="M15" s="436"/>
    </row>
    <row r="16" spans="1:13" s="434" customFormat="1" ht="13.5">
      <c r="A16" s="446" t="s">
        <v>13</v>
      </c>
      <c r="B16" s="425">
        <f>'E13 - Modell'!K47</f>
        <v>35193.825999999994</v>
      </c>
      <c r="C16" s="426">
        <f>B16-B$15</f>
        <v>-4478.397250000016</v>
      </c>
      <c r="D16" s="443">
        <f>C16*40</f>
        <v>-179135.89000000065</v>
      </c>
      <c r="E16" s="427">
        <f>B16/B$15</f>
        <v>0.8871150421346751</v>
      </c>
      <c r="F16" s="428">
        <f>C16*40/B16</f>
        <v>-5.089980555112158</v>
      </c>
      <c r="G16" s="429"/>
      <c r="H16" s="431"/>
      <c r="I16" s="432"/>
      <c r="J16" s="437"/>
      <c r="K16" s="438"/>
      <c r="L16" s="439"/>
      <c r="M16" s="436"/>
    </row>
    <row r="17" spans="1:13" s="434" customFormat="1" ht="13.5">
      <c r="A17" s="447" t="s">
        <v>15</v>
      </c>
      <c r="B17" s="429">
        <f>'E13 Stufe 5 - Modell'!K47</f>
        <v>36501.07749999999</v>
      </c>
      <c r="C17" s="430">
        <f>B17-B$15</f>
        <v>-3171.145750000018</v>
      </c>
      <c r="D17" s="444">
        <f>C17*40</f>
        <v>-126845.83000000071</v>
      </c>
      <c r="E17" s="432">
        <f>B17/B$15</f>
        <v>0.9200663464203505</v>
      </c>
      <c r="F17" s="433">
        <f>C17*40/B17</f>
        <v>-3.4751256315652803</v>
      </c>
      <c r="G17" s="429"/>
      <c r="H17" s="431"/>
      <c r="I17" s="432"/>
      <c r="J17" s="35" t="s">
        <v>77</v>
      </c>
      <c r="K17" s="414">
        <v>43368</v>
      </c>
      <c r="L17" s="440"/>
      <c r="M17" s="436"/>
    </row>
    <row r="18" spans="1:13" s="434" customFormat="1" ht="12.75" customHeight="1">
      <c r="A18" s="448" t="s">
        <v>91</v>
      </c>
      <c r="B18" s="425">
        <f>'E13 TV-L Zulagen - Modell'!K47</f>
        <v>39244.94449999998</v>
      </c>
      <c r="C18" s="426">
        <f>B18-B$15</f>
        <v>-427.2787500000268</v>
      </c>
      <c r="D18" s="443">
        <f>C18*40</f>
        <v>-17091.15000000107</v>
      </c>
      <c r="E18" s="427">
        <f>B18/B$15</f>
        <v>0.9892297755205834</v>
      </c>
      <c r="F18" s="428">
        <f>C18*40/B18</f>
        <v>-0.43549940553492383</v>
      </c>
      <c r="G18" s="429"/>
      <c r="H18" s="431"/>
      <c r="I18" s="432"/>
      <c r="J18" s="429"/>
      <c r="K18" s="431"/>
      <c r="L18" s="432"/>
      <c r="M18" s="436"/>
    </row>
    <row r="19" spans="1:12" ht="15" customHeight="1">
      <c r="A19" s="441" t="s">
        <v>174</v>
      </c>
      <c r="B19" s="57"/>
      <c r="E19" s="5"/>
      <c r="F19" s="37"/>
      <c r="G19" s="55"/>
      <c r="H19" s="55"/>
      <c r="I19" s="55"/>
      <c r="K19" s="315" t="s">
        <v>126</v>
      </c>
      <c r="L19" s="196"/>
    </row>
  </sheetData>
  <sheetProtection/>
  <printOptions/>
  <pageMargins left="0.41" right="0.16" top="0.8" bottom="0.31" header="0.52" footer="0.2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AT50"/>
  <sheetViews>
    <sheetView zoomScale="80" zoomScaleNormal="80" zoomScalePageLayoutView="0" workbookViewId="0" topLeftCell="B1">
      <selection activeCell="I15" sqref="I15"/>
    </sheetView>
  </sheetViews>
  <sheetFormatPr defaultColWidth="11.421875" defaultRowHeight="12.75"/>
  <cols>
    <col min="1" max="1" width="5.57421875" style="5" customWidth="1"/>
    <col min="2" max="2" width="3.8515625" style="5" customWidth="1"/>
    <col min="3" max="3" width="2.28125" style="5" customWidth="1"/>
    <col min="4" max="4" width="4.421875" style="0" customWidth="1"/>
    <col min="5" max="5" width="11.00390625" style="3" customWidth="1"/>
    <col min="6" max="6" width="11.140625" style="6" customWidth="1"/>
    <col min="7" max="7" width="13.7109375" style="4" customWidth="1"/>
    <col min="8" max="8" width="2.421875" style="7" customWidth="1"/>
    <col min="9" max="9" width="4.140625" style="0" customWidth="1"/>
    <col min="10" max="10" width="11.421875" style="3" customWidth="1"/>
    <col min="11" max="11" width="11.57421875" style="4" customWidth="1"/>
    <col min="12" max="12" width="10.8515625" style="26" customWidth="1"/>
    <col min="13" max="13" width="12.7109375" style="26" customWidth="1"/>
    <col min="14" max="14" width="5.57421875" style="6" customWidth="1"/>
    <col min="15" max="15" width="4.28125" style="26" customWidth="1"/>
    <col min="16" max="16" width="10.7109375" style="30" customWidth="1"/>
    <col min="17" max="17" width="7.28125" style="30" customWidth="1"/>
    <col min="18" max="18" width="3.28125" style="0" customWidth="1"/>
    <col min="19" max="20" width="2.28125" style="197" customWidth="1"/>
    <col min="21" max="21" width="11.28125" style="197" customWidth="1"/>
    <col min="22" max="22" width="11.421875" style="197" customWidth="1"/>
    <col min="23" max="23" width="6.28125" style="197" customWidth="1"/>
    <col min="24" max="24" width="10.28125" style="197" customWidth="1"/>
    <col min="27" max="27" width="2.421875" style="0" customWidth="1"/>
    <col min="28" max="28" width="4.421875" style="0" customWidth="1"/>
    <col min="35" max="35" width="12.421875" style="0" customWidth="1"/>
    <col min="37" max="37" width="3.421875" style="0" customWidth="1"/>
    <col min="40" max="40" width="4.140625" style="0" customWidth="1"/>
  </cols>
  <sheetData>
    <row r="1" spans="4:46" ht="12.75" customHeight="1">
      <c r="D1" s="34" t="s">
        <v>25</v>
      </c>
      <c r="P1" s="22" t="s">
        <v>123</v>
      </c>
      <c r="Q1" s="33">
        <v>210</v>
      </c>
      <c r="R1" s="256"/>
      <c r="U1" s="197" t="s">
        <v>130</v>
      </c>
      <c r="V1" s="367" t="s">
        <v>132</v>
      </c>
      <c r="W1" s="367"/>
      <c r="Y1" s="367" t="s">
        <v>137</v>
      </c>
      <c r="AA1" s="197"/>
      <c r="AB1" s="197"/>
      <c r="AC1" s="2" t="s">
        <v>50</v>
      </c>
      <c r="AF1" s="239" t="s">
        <v>127</v>
      </c>
      <c r="AH1" s="198"/>
      <c r="AI1" s="198"/>
      <c r="AJ1" s="208">
        <v>53100</v>
      </c>
      <c r="AK1" s="117" t="s">
        <v>128</v>
      </c>
      <c r="AM1" s="137"/>
      <c r="AN1" s="2"/>
      <c r="AO1" s="2" t="s">
        <v>60</v>
      </c>
      <c r="AT1" s="198"/>
    </row>
    <row r="2" spans="18:46" ht="2.25" customHeight="1">
      <c r="R2" s="256"/>
      <c r="Y2" s="197"/>
      <c r="AA2" s="197"/>
      <c r="AB2" s="197"/>
      <c r="AH2" s="198"/>
      <c r="AI2" s="198"/>
      <c r="AJ2" s="2"/>
      <c r="AK2" s="117"/>
      <c r="AL2" s="117"/>
      <c r="AM2" s="137"/>
      <c r="AN2" s="2"/>
      <c r="AT2" s="198"/>
    </row>
    <row r="3" spans="1:46" ht="12.75">
      <c r="A3" s="8"/>
      <c r="B3" s="8"/>
      <c r="C3" s="8"/>
      <c r="D3" s="40" t="s">
        <v>124</v>
      </c>
      <c r="E3" s="10"/>
      <c r="F3" s="10"/>
      <c r="G3" s="11"/>
      <c r="H3" s="12"/>
      <c r="I3" s="9"/>
      <c r="J3" s="10"/>
      <c r="K3" s="11"/>
      <c r="L3" s="27"/>
      <c r="M3" s="27"/>
      <c r="N3" s="23"/>
      <c r="O3" s="27"/>
      <c r="P3" s="31"/>
      <c r="Q3" s="31"/>
      <c r="R3" s="256"/>
      <c r="U3" s="367" t="s">
        <v>141</v>
      </c>
      <c r="V3" s="369" t="s">
        <v>140</v>
      </c>
      <c r="Y3" s="367" t="s">
        <v>142</v>
      </c>
      <c r="AA3" s="197"/>
      <c r="AB3" s="197"/>
      <c r="AC3" t="s">
        <v>49</v>
      </c>
      <c r="AD3" t="s">
        <v>49</v>
      </c>
      <c r="AE3" t="s">
        <v>49</v>
      </c>
      <c r="AF3" t="s">
        <v>49</v>
      </c>
      <c r="AG3" t="s">
        <v>49</v>
      </c>
      <c r="AH3" s="198"/>
      <c r="AI3" s="198" t="s">
        <v>129</v>
      </c>
      <c r="AJ3" s="208">
        <v>78000</v>
      </c>
      <c r="AK3" s="117" t="s">
        <v>128</v>
      </c>
      <c r="AL3" s="117"/>
      <c r="AM3" s="137"/>
      <c r="AN3" s="2"/>
      <c r="AO3" t="s">
        <v>49</v>
      </c>
      <c r="AP3" t="s">
        <v>49</v>
      </c>
      <c r="AQ3" t="s">
        <v>49</v>
      </c>
      <c r="AR3" t="s">
        <v>49</v>
      </c>
      <c r="AS3" t="s">
        <v>49</v>
      </c>
      <c r="AT3" s="198"/>
    </row>
    <row r="4" spans="1:46" ht="3" customHeight="1">
      <c r="A4" s="8"/>
      <c r="B4" s="8"/>
      <c r="C4" s="8"/>
      <c r="D4" s="9"/>
      <c r="E4" s="10"/>
      <c r="F4" s="10"/>
      <c r="G4" s="11"/>
      <c r="H4" s="12"/>
      <c r="I4" s="9"/>
      <c r="J4" s="10"/>
      <c r="K4" s="11"/>
      <c r="L4" s="27"/>
      <c r="M4" s="27"/>
      <c r="N4" s="23"/>
      <c r="O4" s="27"/>
      <c r="P4" s="31"/>
      <c r="Q4" s="31"/>
      <c r="R4" s="256"/>
      <c r="Y4" s="197"/>
      <c r="AA4" s="197"/>
      <c r="AB4" s="197"/>
      <c r="AH4" s="198"/>
      <c r="AI4" s="198"/>
      <c r="AJ4" s="2"/>
      <c r="AK4" s="2"/>
      <c r="AL4" s="117"/>
      <c r="AM4" s="137"/>
      <c r="AN4" s="2"/>
      <c r="AT4" s="198"/>
    </row>
    <row r="5" spans="1:46" ht="35.25" customHeight="1">
      <c r="A5" s="8"/>
      <c r="B5" s="8"/>
      <c r="C5" s="8"/>
      <c r="D5" s="398" t="s">
        <v>105</v>
      </c>
      <c r="E5" s="399"/>
      <c r="F5" s="399"/>
      <c r="G5" s="400"/>
      <c r="H5" s="25"/>
      <c r="I5" s="401" t="s">
        <v>106</v>
      </c>
      <c r="J5" s="402"/>
      <c r="K5" s="402"/>
      <c r="L5" s="402"/>
      <c r="M5" s="403"/>
      <c r="N5" s="58"/>
      <c r="O5" s="58"/>
      <c r="P5" s="58"/>
      <c r="Q5" s="58"/>
      <c r="R5" s="256"/>
      <c r="U5" s="366">
        <v>3045</v>
      </c>
      <c r="V5" s="368">
        <v>32.03</v>
      </c>
      <c r="W5" s="368"/>
      <c r="Y5" s="368">
        <v>4</v>
      </c>
      <c r="AA5" s="197"/>
      <c r="AB5" s="197"/>
      <c r="AC5" s="219">
        <v>0.073</v>
      </c>
      <c r="AD5" s="220">
        <v>0.01275</v>
      </c>
      <c r="AE5" s="219">
        <v>0.015</v>
      </c>
      <c r="AF5" s="219">
        <v>0.093</v>
      </c>
      <c r="AG5" s="219">
        <v>0.0645</v>
      </c>
      <c r="AH5" s="219">
        <f>SUM(AC5:AG5)</f>
        <v>0.25825</v>
      </c>
      <c r="AI5" s="198"/>
      <c r="AJ5" s="2"/>
      <c r="AK5" s="2"/>
      <c r="AL5" s="117"/>
      <c r="AM5" s="137"/>
      <c r="AN5" s="2"/>
      <c r="AO5" s="219">
        <v>0.073</v>
      </c>
      <c r="AP5" s="220">
        <v>0.01275</v>
      </c>
      <c r="AQ5" s="219">
        <v>0.015</v>
      </c>
      <c r="AR5" s="219">
        <v>0.093</v>
      </c>
      <c r="AS5" s="219">
        <v>0.0181</v>
      </c>
      <c r="AT5" s="219">
        <f>SUM(AO5:AS5)</f>
        <v>0.21184999999999998</v>
      </c>
    </row>
    <row r="6" spans="1:46" ht="33" customHeight="1">
      <c r="A6" s="107" t="s">
        <v>29</v>
      </c>
      <c r="B6" s="13" t="s">
        <v>1</v>
      </c>
      <c r="C6" s="13"/>
      <c r="D6" s="59" t="s">
        <v>2</v>
      </c>
      <c r="E6" s="60" t="s">
        <v>4</v>
      </c>
      <c r="F6" s="60" t="s">
        <v>3</v>
      </c>
      <c r="G6" s="61" t="s">
        <v>23</v>
      </c>
      <c r="H6" s="15"/>
      <c r="I6" s="59" t="s">
        <v>2</v>
      </c>
      <c r="J6" s="60" t="s">
        <v>5</v>
      </c>
      <c r="K6" s="62" t="s">
        <v>6</v>
      </c>
      <c r="L6" s="63" t="s">
        <v>8</v>
      </c>
      <c r="M6" s="64" t="s">
        <v>24</v>
      </c>
      <c r="N6" s="107" t="s">
        <v>29</v>
      </c>
      <c r="O6" s="13" t="s">
        <v>1</v>
      </c>
      <c r="P6" s="48"/>
      <c r="Q6" s="48"/>
      <c r="R6" s="256"/>
      <c r="T6" s="378"/>
      <c r="U6" s="379" t="s">
        <v>131</v>
      </c>
      <c r="V6" s="380" t="s">
        <v>133</v>
      </c>
      <c r="W6" s="380" t="s">
        <v>135</v>
      </c>
      <c r="X6" s="381" t="s">
        <v>136</v>
      </c>
      <c r="Y6" s="380" t="s">
        <v>138</v>
      </c>
      <c r="Z6" s="382" t="s">
        <v>139</v>
      </c>
      <c r="AA6" s="197"/>
      <c r="AB6" s="199"/>
      <c r="AC6" s="200" t="s">
        <v>62</v>
      </c>
      <c r="AD6" s="200" t="s">
        <v>51</v>
      </c>
      <c r="AE6" s="200" t="s">
        <v>75</v>
      </c>
      <c r="AF6" s="200" t="s">
        <v>76</v>
      </c>
      <c r="AG6" s="200" t="s">
        <v>61</v>
      </c>
      <c r="AH6" s="201" t="s">
        <v>54</v>
      </c>
      <c r="AI6" s="201" t="s">
        <v>55</v>
      </c>
      <c r="AJ6" s="202" t="s">
        <v>56</v>
      </c>
      <c r="AK6" s="203"/>
      <c r="AL6" s="224" t="s">
        <v>57</v>
      </c>
      <c r="AM6" s="225" t="s">
        <v>59</v>
      </c>
      <c r="AN6" s="203"/>
      <c r="AO6" s="226" t="s">
        <v>62</v>
      </c>
      <c r="AP6" s="200" t="s">
        <v>51</v>
      </c>
      <c r="AQ6" s="200" t="s">
        <v>52</v>
      </c>
      <c r="AR6" s="200" t="s">
        <v>53</v>
      </c>
      <c r="AS6" s="200" t="s">
        <v>61</v>
      </c>
      <c r="AT6" s="232" t="s">
        <v>54</v>
      </c>
    </row>
    <row r="7" spans="1:46" ht="11.25" customHeight="1">
      <c r="A7" s="8">
        <v>1</v>
      </c>
      <c r="B7" s="8">
        <v>27</v>
      </c>
      <c r="C7" s="8"/>
      <c r="D7" s="346">
        <v>1</v>
      </c>
      <c r="E7" s="17">
        <f>VLOOKUP(D7,'A13 - Tabelle'!$A$6:$F$13,6)</f>
        <v>47088.24</v>
      </c>
      <c r="F7" s="17">
        <f>VLOOKUP(D7,'A13 - Tabelle'!$A$6:$G$13,7)</f>
        <v>36235.46</v>
      </c>
      <c r="G7" s="18">
        <f aca="true" t="shared" si="0" ref="G7:G46">F7-12*$Q$1</f>
        <v>33715.46</v>
      </c>
      <c r="H7" s="19"/>
      <c r="I7" s="16">
        <v>5</v>
      </c>
      <c r="J7" s="17">
        <f>VLOOKUP(I7,'E13 - Tabelle'!$A$7:$L$19,11)</f>
        <v>66242.875</v>
      </c>
      <c r="K7" s="20">
        <f>VLOOKUP(I7,'E13 - Tabelle'!$A$7:$L$19,12)</f>
        <v>35970.94</v>
      </c>
      <c r="L7" s="28">
        <f aca="true" t="shared" si="1" ref="L7:L46">K7-G7</f>
        <v>2255.480000000003</v>
      </c>
      <c r="M7" s="32">
        <f>L7</f>
        <v>2255.480000000003</v>
      </c>
      <c r="N7" s="8">
        <v>1</v>
      </c>
      <c r="O7" s="8">
        <v>27</v>
      </c>
      <c r="P7" s="47"/>
      <c r="Q7" s="47"/>
      <c r="R7" s="256"/>
      <c r="T7" s="204"/>
      <c r="U7" s="370">
        <f>J7/(U$5*12)</f>
        <v>1.8128865626710455</v>
      </c>
      <c r="V7" s="371"/>
      <c r="W7" s="68">
        <v>2.2</v>
      </c>
      <c r="X7" s="370">
        <f aca="true" t="shared" si="2" ref="X7:X46">J7/12/1000*W7</f>
        <v>12.144527083333333</v>
      </c>
      <c r="Y7" s="68"/>
      <c r="Z7" s="372"/>
      <c r="AA7" s="197"/>
      <c r="AB7" s="204"/>
      <c r="AC7" s="205">
        <f aca="true" t="shared" si="3" ref="AC7:AD26">IF(($J7&lt;$AJ$1),$J7/12*AC$5,$AJ$1/12*AC$5)</f>
        <v>323.025</v>
      </c>
      <c r="AD7" s="205">
        <f t="shared" si="3"/>
        <v>56.418749999999996</v>
      </c>
      <c r="AE7" s="205">
        <f>$J7/12*AE$5</f>
        <v>82.80359374999999</v>
      </c>
      <c r="AF7" s="205">
        <f>$J7/12*AF$5</f>
        <v>513.38228125</v>
      </c>
      <c r="AG7" s="205">
        <f>$J7/12*AG$5</f>
        <v>356.055453125</v>
      </c>
      <c r="AH7" s="206">
        <f>SUM(AC7:AG7)</f>
        <v>1331.685078125</v>
      </c>
      <c r="AI7" s="206">
        <f>J7/12</f>
        <v>5520.239583333333</v>
      </c>
      <c r="AJ7" s="207">
        <f>AI7+AH7</f>
        <v>6851.9246614583335</v>
      </c>
      <c r="AK7" s="208"/>
      <c r="AL7" s="221">
        <f>K7/12</f>
        <v>2997.5783333333334</v>
      </c>
      <c r="AM7" s="222">
        <f>AJ7-AL7</f>
        <v>3854.346328125</v>
      </c>
      <c r="AN7" s="208"/>
      <c r="AO7" s="227">
        <f aca="true" t="shared" si="4" ref="AO7:AP26">IF(($J7&lt;$AJ$1),$J7/12*AO$5,$AJ$1/12*AO$5)</f>
        <v>323.025</v>
      </c>
      <c r="AP7" s="227">
        <f t="shared" si="4"/>
        <v>56.418749999999996</v>
      </c>
      <c r="AQ7" s="205">
        <f>$J7/12*AQ$5</f>
        <v>82.80359374999999</v>
      </c>
      <c r="AR7" s="205">
        <f>$J7/12*AR$5</f>
        <v>513.38228125</v>
      </c>
      <c r="AS7" s="205">
        <f>$J7/12*AS$5</f>
        <v>99.91633645833333</v>
      </c>
      <c r="AT7" s="231">
        <f>SUM(AO7:AS7)</f>
        <v>1075.5459614583333</v>
      </c>
    </row>
    <row r="8" spans="1:46" ht="11.25" customHeight="1">
      <c r="A8" s="8">
        <v>2</v>
      </c>
      <c r="B8" s="8">
        <v>28</v>
      </c>
      <c r="C8" s="8"/>
      <c r="D8" s="346">
        <v>2</v>
      </c>
      <c r="E8" s="17">
        <f>VLOOKUP(D8,'A13 - Tabelle'!$A$6:$F$13,6)</f>
        <v>49409.64</v>
      </c>
      <c r="F8" s="17">
        <f>VLOOKUP(D8,'A13 - Tabelle'!$A$6:$G$13,7)</f>
        <v>37624.24</v>
      </c>
      <c r="G8" s="18">
        <f t="shared" si="0"/>
        <v>35104.24</v>
      </c>
      <c r="H8" s="19"/>
      <c r="I8" s="16">
        <v>5</v>
      </c>
      <c r="J8" s="17">
        <f>VLOOKUP(I8,'E13 - Tabelle'!$A$7:$L$19,11)</f>
        <v>66242.875</v>
      </c>
      <c r="K8" s="20">
        <f>VLOOKUP(I8,'E13 - Tabelle'!$A$7:$L$19,12)</f>
        <v>35970.94</v>
      </c>
      <c r="L8" s="28">
        <f t="shared" si="1"/>
        <v>866.7000000000044</v>
      </c>
      <c r="M8" s="32">
        <f aca="true" t="shared" si="5" ref="M8:M46">L8+M7</f>
        <v>3122.1800000000076</v>
      </c>
      <c r="N8" s="8">
        <v>2</v>
      </c>
      <c r="O8" s="8">
        <v>28</v>
      </c>
      <c r="P8" s="47"/>
      <c r="Q8" s="47"/>
      <c r="R8" s="256"/>
      <c r="T8" s="204"/>
      <c r="U8" s="370">
        <f aca="true" t="shared" si="6" ref="U8:U46">J8/(U$5*12)</f>
        <v>1.8128865626710455</v>
      </c>
      <c r="V8" s="371"/>
      <c r="W8" s="68">
        <v>2.2</v>
      </c>
      <c r="X8" s="370">
        <f t="shared" si="2"/>
        <v>12.144527083333333</v>
      </c>
      <c r="Y8" s="68"/>
      <c r="Z8" s="372"/>
      <c r="AA8" s="197"/>
      <c r="AB8" s="204"/>
      <c r="AC8" s="205">
        <f t="shared" si="3"/>
        <v>323.025</v>
      </c>
      <c r="AD8" s="205">
        <f t="shared" si="3"/>
        <v>56.418749999999996</v>
      </c>
      <c r="AE8" s="205">
        <f aca="true" t="shared" si="7" ref="AE8:AG46">$J8/12*AE$5</f>
        <v>82.80359374999999</v>
      </c>
      <c r="AF8" s="205">
        <f t="shared" si="7"/>
        <v>513.38228125</v>
      </c>
      <c r="AG8" s="205">
        <f t="shared" si="7"/>
        <v>356.055453125</v>
      </c>
      <c r="AH8" s="206">
        <f aca="true" t="shared" si="8" ref="AH8:AH46">SUM(AC8:AG8)</f>
        <v>1331.685078125</v>
      </c>
      <c r="AI8" s="206">
        <f aca="true" t="shared" si="9" ref="AI8:AI46">J8/12</f>
        <v>5520.239583333333</v>
      </c>
      <c r="AJ8" s="207">
        <f aca="true" t="shared" si="10" ref="AJ8:AJ46">AI8+AH8</f>
        <v>6851.9246614583335</v>
      </c>
      <c r="AK8" s="208"/>
      <c r="AL8" s="221">
        <f aca="true" t="shared" si="11" ref="AL8:AL46">K8/12</f>
        <v>2997.5783333333334</v>
      </c>
      <c r="AM8" s="222">
        <f aca="true" t="shared" si="12" ref="AM8:AM46">AJ8-AL8</f>
        <v>3854.346328125</v>
      </c>
      <c r="AN8" s="208"/>
      <c r="AO8" s="227">
        <f t="shared" si="4"/>
        <v>323.025</v>
      </c>
      <c r="AP8" s="227">
        <f t="shared" si="4"/>
        <v>56.418749999999996</v>
      </c>
      <c r="AQ8" s="205">
        <f aca="true" t="shared" si="13" ref="AQ8:AS46">$J8/12*AQ$5</f>
        <v>82.80359374999999</v>
      </c>
      <c r="AR8" s="205">
        <f t="shared" si="13"/>
        <v>513.38228125</v>
      </c>
      <c r="AS8" s="205">
        <f t="shared" si="13"/>
        <v>99.91633645833333</v>
      </c>
      <c r="AT8" s="231">
        <f aca="true" t="shared" si="14" ref="AT8:AT46">SUM(AO8:AS8)</f>
        <v>1075.5459614583333</v>
      </c>
    </row>
    <row r="9" spans="1:46" ht="11.25" customHeight="1">
      <c r="A9" s="8">
        <v>3</v>
      </c>
      <c r="B9" s="8">
        <v>29</v>
      </c>
      <c r="C9" s="8"/>
      <c r="D9" s="346">
        <v>2</v>
      </c>
      <c r="E9" s="17">
        <f>VLOOKUP(D9,'A13 - Tabelle'!$A$6:$F$13,6)</f>
        <v>49409.64</v>
      </c>
      <c r="F9" s="17">
        <f>VLOOKUP(D9,'A13 - Tabelle'!$A$6:$G$13,7)</f>
        <v>37624.24</v>
      </c>
      <c r="G9" s="18">
        <f t="shared" si="0"/>
        <v>35104.24</v>
      </c>
      <c r="H9" s="19"/>
      <c r="I9" s="16">
        <v>5</v>
      </c>
      <c r="J9" s="17">
        <f>VLOOKUP(I9,'E13 - Tabelle'!$A$7:$L$19,11)</f>
        <v>66242.875</v>
      </c>
      <c r="K9" s="20">
        <f>VLOOKUP(I9,'E13 - Tabelle'!$A$7:$L$19,12)</f>
        <v>35970.94</v>
      </c>
      <c r="L9" s="28">
        <f t="shared" si="1"/>
        <v>866.7000000000044</v>
      </c>
      <c r="M9" s="32">
        <f t="shared" si="5"/>
        <v>3988.880000000012</v>
      </c>
      <c r="N9" s="8">
        <v>3</v>
      </c>
      <c r="O9" s="8">
        <v>29</v>
      </c>
      <c r="P9" s="47"/>
      <c r="Q9" s="47"/>
      <c r="R9" s="256"/>
      <c r="T9" s="204"/>
      <c r="U9" s="370">
        <f t="shared" si="6"/>
        <v>1.8128865626710455</v>
      </c>
      <c r="V9" s="371"/>
      <c r="W9" s="68">
        <v>2.1</v>
      </c>
      <c r="X9" s="370">
        <f t="shared" si="2"/>
        <v>11.592503125</v>
      </c>
      <c r="Y9" s="68"/>
      <c r="Z9" s="372"/>
      <c r="AA9" s="197"/>
      <c r="AB9" s="204"/>
      <c r="AC9" s="205">
        <f t="shared" si="3"/>
        <v>323.025</v>
      </c>
      <c r="AD9" s="205">
        <f t="shared" si="3"/>
        <v>56.418749999999996</v>
      </c>
      <c r="AE9" s="205">
        <f t="shared" si="7"/>
        <v>82.80359374999999</v>
      </c>
      <c r="AF9" s="205">
        <f t="shared" si="7"/>
        <v>513.38228125</v>
      </c>
      <c r="AG9" s="205">
        <f t="shared" si="7"/>
        <v>356.055453125</v>
      </c>
      <c r="AH9" s="206">
        <f t="shared" si="8"/>
        <v>1331.685078125</v>
      </c>
      <c r="AI9" s="206">
        <f t="shared" si="9"/>
        <v>5520.239583333333</v>
      </c>
      <c r="AJ9" s="207">
        <f t="shared" si="10"/>
        <v>6851.9246614583335</v>
      </c>
      <c r="AK9" s="208"/>
      <c r="AL9" s="221">
        <f t="shared" si="11"/>
        <v>2997.5783333333334</v>
      </c>
      <c r="AM9" s="222">
        <f t="shared" si="12"/>
        <v>3854.346328125</v>
      </c>
      <c r="AN9" s="208"/>
      <c r="AO9" s="227">
        <f t="shared" si="4"/>
        <v>323.025</v>
      </c>
      <c r="AP9" s="227">
        <f t="shared" si="4"/>
        <v>56.418749999999996</v>
      </c>
      <c r="AQ9" s="205">
        <f t="shared" si="13"/>
        <v>82.80359374999999</v>
      </c>
      <c r="AR9" s="205">
        <f t="shared" si="13"/>
        <v>513.38228125</v>
      </c>
      <c r="AS9" s="205">
        <f t="shared" si="13"/>
        <v>99.91633645833333</v>
      </c>
      <c r="AT9" s="231">
        <f t="shared" si="14"/>
        <v>1075.5459614583333</v>
      </c>
    </row>
    <row r="10" spans="1:46" ht="11.25" customHeight="1">
      <c r="A10" s="8">
        <v>4</v>
      </c>
      <c r="B10" s="8">
        <v>30</v>
      </c>
      <c r="C10" s="8"/>
      <c r="D10" s="346">
        <v>2</v>
      </c>
      <c r="E10" s="17">
        <f>VLOOKUP(D10,'A13 - Tabelle'!$A$6:$F$13,6)</f>
        <v>49409.64</v>
      </c>
      <c r="F10" s="17">
        <f>VLOOKUP(D10,'A13 - Tabelle'!$A$6:$G$13,7)</f>
        <v>37624.24</v>
      </c>
      <c r="G10" s="18">
        <f t="shared" si="0"/>
        <v>35104.24</v>
      </c>
      <c r="H10" s="19"/>
      <c r="I10" s="16">
        <v>5</v>
      </c>
      <c r="J10" s="17">
        <f>VLOOKUP(I10,'E13 - Tabelle'!$A$7:$L$19,11)</f>
        <v>66242.875</v>
      </c>
      <c r="K10" s="20">
        <f>VLOOKUP(I10,'E13 - Tabelle'!$A$7:$L$19,12)</f>
        <v>35970.94</v>
      </c>
      <c r="L10" s="29">
        <f t="shared" si="1"/>
        <v>866.7000000000044</v>
      </c>
      <c r="M10" s="32">
        <f t="shared" si="5"/>
        <v>4855.580000000016</v>
      </c>
      <c r="N10" s="8">
        <v>4</v>
      </c>
      <c r="O10" s="8">
        <v>30</v>
      </c>
      <c r="P10" s="47"/>
      <c r="Q10" s="47"/>
      <c r="R10" s="256"/>
      <c r="T10" s="204"/>
      <c r="U10" s="370">
        <f t="shared" si="6"/>
        <v>1.8128865626710455</v>
      </c>
      <c r="V10" s="371"/>
      <c r="W10" s="68">
        <v>2</v>
      </c>
      <c r="X10" s="370">
        <f t="shared" si="2"/>
        <v>11.040479166666666</v>
      </c>
      <c r="Y10" s="68"/>
      <c r="Z10" s="372"/>
      <c r="AA10" s="197"/>
      <c r="AB10" s="204"/>
      <c r="AC10" s="205">
        <f t="shared" si="3"/>
        <v>323.025</v>
      </c>
      <c r="AD10" s="205">
        <f t="shared" si="3"/>
        <v>56.418749999999996</v>
      </c>
      <c r="AE10" s="205">
        <f t="shared" si="7"/>
        <v>82.80359374999999</v>
      </c>
      <c r="AF10" s="205">
        <f t="shared" si="7"/>
        <v>513.38228125</v>
      </c>
      <c r="AG10" s="205">
        <f t="shared" si="7"/>
        <v>356.055453125</v>
      </c>
      <c r="AH10" s="206">
        <f t="shared" si="8"/>
        <v>1331.685078125</v>
      </c>
      <c r="AI10" s="206">
        <f t="shared" si="9"/>
        <v>5520.239583333333</v>
      </c>
      <c r="AJ10" s="207">
        <f t="shared" si="10"/>
        <v>6851.9246614583335</v>
      </c>
      <c r="AK10" s="208"/>
      <c r="AL10" s="221">
        <f t="shared" si="11"/>
        <v>2997.5783333333334</v>
      </c>
      <c r="AM10" s="222">
        <f t="shared" si="12"/>
        <v>3854.346328125</v>
      </c>
      <c r="AN10" s="208"/>
      <c r="AO10" s="227">
        <f t="shared" si="4"/>
        <v>323.025</v>
      </c>
      <c r="AP10" s="227">
        <f t="shared" si="4"/>
        <v>56.418749999999996</v>
      </c>
      <c r="AQ10" s="205">
        <f t="shared" si="13"/>
        <v>82.80359374999999</v>
      </c>
      <c r="AR10" s="205">
        <f t="shared" si="13"/>
        <v>513.38228125</v>
      </c>
      <c r="AS10" s="205">
        <f t="shared" si="13"/>
        <v>99.91633645833333</v>
      </c>
      <c r="AT10" s="231">
        <f t="shared" si="14"/>
        <v>1075.5459614583333</v>
      </c>
    </row>
    <row r="11" spans="1:46" ht="11.25" customHeight="1">
      <c r="A11" s="8">
        <v>5</v>
      </c>
      <c r="B11" s="8">
        <v>31</v>
      </c>
      <c r="C11" s="8"/>
      <c r="D11" s="346">
        <v>3</v>
      </c>
      <c r="E11" s="17">
        <f>VLOOKUP(D11,'A13 - Tabelle'!$A$6:$F$13,6)</f>
        <v>51730.799999999996</v>
      </c>
      <c r="F11" s="17">
        <f>VLOOKUP(D11,'A13 - Tabelle'!$A$6:$G$13,7)</f>
        <v>38986.4</v>
      </c>
      <c r="G11" s="18">
        <f t="shared" si="0"/>
        <v>36466.4</v>
      </c>
      <c r="H11" s="19"/>
      <c r="I11" s="16">
        <v>5</v>
      </c>
      <c r="J11" s="17">
        <f>VLOOKUP(I11,'E13 - Tabelle'!$A$7:$L$19,11)</f>
        <v>66242.875</v>
      </c>
      <c r="K11" s="20">
        <f>VLOOKUP(I11,'E13 - Tabelle'!$A$7:$L$19,12)</f>
        <v>35970.94</v>
      </c>
      <c r="L11" s="29">
        <f t="shared" si="1"/>
        <v>-495.4599999999991</v>
      </c>
      <c r="M11" s="32">
        <f t="shared" si="5"/>
        <v>4360.120000000017</v>
      </c>
      <c r="N11" s="8">
        <v>5</v>
      </c>
      <c r="O11" s="8">
        <v>31</v>
      </c>
      <c r="P11" s="47"/>
      <c r="Q11" s="47"/>
      <c r="R11" s="256"/>
      <c r="T11" s="204"/>
      <c r="U11" s="370">
        <f t="shared" si="6"/>
        <v>1.8128865626710455</v>
      </c>
      <c r="V11" s="371"/>
      <c r="W11" s="68">
        <v>2</v>
      </c>
      <c r="X11" s="370">
        <f t="shared" si="2"/>
        <v>11.040479166666666</v>
      </c>
      <c r="Y11" s="68"/>
      <c r="Z11" s="372"/>
      <c r="AA11" s="197"/>
      <c r="AB11" s="204"/>
      <c r="AC11" s="205">
        <f t="shared" si="3"/>
        <v>323.025</v>
      </c>
      <c r="AD11" s="205">
        <f t="shared" si="3"/>
        <v>56.418749999999996</v>
      </c>
      <c r="AE11" s="205">
        <f t="shared" si="7"/>
        <v>82.80359374999999</v>
      </c>
      <c r="AF11" s="205">
        <f t="shared" si="7"/>
        <v>513.38228125</v>
      </c>
      <c r="AG11" s="205">
        <f t="shared" si="7"/>
        <v>356.055453125</v>
      </c>
      <c r="AH11" s="206">
        <f t="shared" si="8"/>
        <v>1331.685078125</v>
      </c>
      <c r="AI11" s="206">
        <f t="shared" si="9"/>
        <v>5520.239583333333</v>
      </c>
      <c r="AJ11" s="207">
        <f t="shared" si="10"/>
        <v>6851.9246614583335</v>
      </c>
      <c r="AK11" s="208"/>
      <c r="AL11" s="221">
        <f t="shared" si="11"/>
        <v>2997.5783333333334</v>
      </c>
      <c r="AM11" s="222">
        <f t="shared" si="12"/>
        <v>3854.346328125</v>
      </c>
      <c r="AN11" s="208"/>
      <c r="AO11" s="227">
        <f t="shared" si="4"/>
        <v>323.025</v>
      </c>
      <c r="AP11" s="227">
        <f t="shared" si="4"/>
        <v>56.418749999999996</v>
      </c>
      <c r="AQ11" s="205">
        <f t="shared" si="13"/>
        <v>82.80359374999999</v>
      </c>
      <c r="AR11" s="205">
        <f t="shared" si="13"/>
        <v>513.38228125</v>
      </c>
      <c r="AS11" s="205">
        <f t="shared" si="13"/>
        <v>99.91633645833333</v>
      </c>
      <c r="AT11" s="231">
        <f t="shared" si="14"/>
        <v>1075.5459614583333</v>
      </c>
    </row>
    <row r="12" spans="1:46" ht="11.25" customHeight="1">
      <c r="A12" s="8">
        <v>6</v>
      </c>
      <c r="B12" s="8">
        <v>32</v>
      </c>
      <c r="C12" s="8"/>
      <c r="D12" s="346">
        <v>3</v>
      </c>
      <c r="E12" s="17">
        <f>VLOOKUP(D12,'A13 - Tabelle'!$A$6:$F$13,6)</f>
        <v>51730.799999999996</v>
      </c>
      <c r="F12" s="17">
        <f>VLOOKUP(D12,'A13 - Tabelle'!$A$6:$G$13,7)</f>
        <v>38986.4</v>
      </c>
      <c r="G12" s="18">
        <f t="shared" si="0"/>
        <v>36466.4</v>
      </c>
      <c r="H12" s="19"/>
      <c r="I12" s="16">
        <v>5</v>
      </c>
      <c r="J12" s="17">
        <f>VLOOKUP(I12,'E13 - Tabelle'!$A$7:$L$19,11)</f>
        <v>66242.875</v>
      </c>
      <c r="K12" s="20">
        <f>VLOOKUP(I12,'E13 - Tabelle'!$A$7:$L$19,12)</f>
        <v>35970.94</v>
      </c>
      <c r="L12" s="28">
        <f t="shared" si="1"/>
        <v>-495.4599999999991</v>
      </c>
      <c r="M12" s="32">
        <f t="shared" si="5"/>
        <v>3864.660000000018</v>
      </c>
      <c r="N12" s="8">
        <v>6</v>
      </c>
      <c r="O12" s="8">
        <v>32</v>
      </c>
      <c r="P12" s="47"/>
      <c r="Q12" s="47"/>
      <c r="R12" s="256"/>
      <c r="T12" s="204"/>
      <c r="U12" s="370">
        <f t="shared" si="6"/>
        <v>1.8128865626710455</v>
      </c>
      <c r="V12" s="371"/>
      <c r="W12" s="68">
        <v>1.9</v>
      </c>
      <c r="X12" s="370">
        <f t="shared" si="2"/>
        <v>10.488455208333331</v>
      </c>
      <c r="Y12" s="68"/>
      <c r="Z12" s="372"/>
      <c r="AA12" s="197"/>
      <c r="AB12" s="204"/>
      <c r="AC12" s="205">
        <f t="shared" si="3"/>
        <v>323.025</v>
      </c>
      <c r="AD12" s="205">
        <f t="shared" si="3"/>
        <v>56.418749999999996</v>
      </c>
      <c r="AE12" s="205">
        <f t="shared" si="7"/>
        <v>82.80359374999999</v>
      </c>
      <c r="AF12" s="205">
        <f t="shared" si="7"/>
        <v>513.38228125</v>
      </c>
      <c r="AG12" s="205">
        <f t="shared" si="7"/>
        <v>356.055453125</v>
      </c>
      <c r="AH12" s="206">
        <f t="shared" si="8"/>
        <v>1331.685078125</v>
      </c>
      <c r="AI12" s="206">
        <f t="shared" si="9"/>
        <v>5520.239583333333</v>
      </c>
      <c r="AJ12" s="207">
        <f t="shared" si="10"/>
        <v>6851.9246614583335</v>
      </c>
      <c r="AK12" s="208"/>
      <c r="AL12" s="221">
        <f t="shared" si="11"/>
        <v>2997.5783333333334</v>
      </c>
      <c r="AM12" s="222">
        <f t="shared" si="12"/>
        <v>3854.346328125</v>
      </c>
      <c r="AN12" s="208"/>
      <c r="AO12" s="227">
        <f t="shared" si="4"/>
        <v>323.025</v>
      </c>
      <c r="AP12" s="227">
        <f t="shared" si="4"/>
        <v>56.418749999999996</v>
      </c>
      <c r="AQ12" s="205">
        <f t="shared" si="13"/>
        <v>82.80359374999999</v>
      </c>
      <c r="AR12" s="205">
        <f t="shared" si="13"/>
        <v>513.38228125</v>
      </c>
      <c r="AS12" s="205">
        <f t="shared" si="13"/>
        <v>99.91633645833333</v>
      </c>
      <c r="AT12" s="231">
        <f t="shared" si="14"/>
        <v>1075.5459614583333</v>
      </c>
    </row>
    <row r="13" spans="1:46" ht="11.25" customHeight="1">
      <c r="A13" s="8">
        <v>7</v>
      </c>
      <c r="B13" s="8">
        <v>33</v>
      </c>
      <c r="C13" s="8"/>
      <c r="D13" s="346">
        <v>3</v>
      </c>
      <c r="E13" s="17">
        <f>VLOOKUP(D13,'A13 - Tabelle'!$A$6:$F$13,6)</f>
        <v>51730.799999999996</v>
      </c>
      <c r="F13" s="17">
        <f>VLOOKUP(D13,'A13 - Tabelle'!$A$6:$G$13,7)</f>
        <v>38986.4</v>
      </c>
      <c r="G13" s="18">
        <f t="shared" si="0"/>
        <v>36466.4</v>
      </c>
      <c r="H13" s="19"/>
      <c r="I13" s="16">
        <v>5</v>
      </c>
      <c r="J13" s="17">
        <f>VLOOKUP(I13,'E13 - Tabelle'!$A$7:$L$19,11)</f>
        <v>66242.875</v>
      </c>
      <c r="K13" s="20">
        <f>VLOOKUP(I13,'E13 - Tabelle'!$A$7:$L$19,12)</f>
        <v>35970.94</v>
      </c>
      <c r="L13" s="28">
        <f t="shared" si="1"/>
        <v>-495.4599999999991</v>
      </c>
      <c r="M13" s="32">
        <f t="shared" si="5"/>
        <v>3369.200000000019</v>
      </c>
      <c r="N13" s="8">
        <v>7</v>
      </c>
      <c r="O13" s="8">
        <v>33</v>
      </c>
      <c r="P13" s="47"/>
      <c r="Q13" s="47"/>
      <c r="R13" s="256"/>
      <c r="T13" s="204"/>
      <c r="U13" s="370">
        <f t="shared" si="6"/>
        <v>1.8128865626710455</v>
      </c>
      <c r="V13" s="371"/>
      <c r="W13" s="68">
        <v>1.9</v>
      </c>
      <c r="X13" s="370">
        <f t="shared" si="2"/>
        <v>10.488455208333331</v>
      </c>
      <c r="Y13" s="68"/>
      <c r="Z13" s="372"/>
      <c r="AA13" s="197"/>
      <c r="AB13" s="204"/>
      <c r="AC13" s="205">
        <f t="shared" si="3"/>
        <v>323.025</v>
      </c>
      <c r="AD13" s="205">
        <f t="shared" si="3"/>
        <v>56.418749999999996</v>
      </c>
      <c r="AE13" s="205">
        <f t="shared" si="7"/>
        <v>82.80359374999999</v>
      </c>
      <c r="AF13" s="205">
        <f t="shared" si="7"/>
        <v>513.38228125</v>
      </c>
      <c r="AG13" s="205">
        <f t="shared" si="7"/>
        <v>356.055453125</v>
      </c>
      <c r="AH13" s="206">
        <f t="shared" si="8"/>
        <v>1331.685078125</v>
      </c>
      <c r="AI13" s="206">
        <f t="shared" si="9"/>
        <v>5520.239583333333</v>
      </c>
      <c r="AJ13" s="207">
        <f t="shared" si="10"/>
        <v>6851.9246614583335</v>
      </c>
      <c r="AK13" s="208"/>
      <c r="AL13" s="221">
        <f t="shared" si="11"/>
        <v>2997.5783333333334</v>
      </c>
      <c r="AM13" s="222">
        <f t="shared" si="12"/>
        <v>3854.346328125</v>
      </c>
      <c r="AN13" s="208"/>
      <c r="AO13" s="227">
        <f t="shared" si="4"/>
        <v>323.025</v>
      </c>
      <c r="AP13" s="227">
        <f t="shared" si="4"/>
        <v>56.418749999999996</v>
      </c>
      <c r="AQ13" s="205">
        <f t="shared" si="13"/>
        <v>82.80359374999999</v>
      </c>
      <c r="AR13" s="205">
        <f t="shared" si="13"/>
        <v>513.38228125</v>
      </c>
      <c r="AS13" s="205">
        <f t="shared" si="13"/>
        <v>99.91633645833333</v>
      </c>
      <c r="AT13" s="231">
        <f t="shared" si="14"/>
        <v>1075.5459614583333</v>
      </c>
    </row>
    <row r="14" spans="1:46" ht="11.25" customHeight="1">
      <c r="A14" s="8">
        <v>8</v>
      </c>
      <c r="B14" s="8">
        <v>34</v>
      </c>
      <c r="C14" s="8"/>
      <c r="D14" s="346">
        <v>4</v>
      </c>
      <c r="E14" s="17">
        <f>VLOOKUP(D14,'A13 - Tabelle'!$A$6:$F$13,6)</f>
        <v>54066.240000000005</v>
      </c>
      <c r="F14" s="17">
        <f>VLOOKUP(D14,'A13 - Tabelle'!$A$6:$G$13,7)</f>
        <v>40332.25</v>
      </c>
      <c r="G14" s="18">
        <f t="shared" si="0"/>
        <v>37812.25</v>
      </c>
      <c r="H14" s="19"/>
      <c r="I14" s="16">
        <v>5</v>
      </c>
      <c r="J14" s="17">
        <f>VLOOKUP(I14,'E13 - Tabelle'!$A$7:$L$19,11)</f>
        <v>66242.875</v>
      </c>
      <c r="K14" s="20">
        <f>VLOOKUP(I14,'E13 - Tabelle'!$A$7:$L$19,12)</f>
        <v>35970.94</v>
      </c>
      <c r="L14" s="28">
        <f t="shared" si="1"/>
        <v>-1841.3099999999977</v>
      </c>
      <c r="M14" s="150">
        <f t="shared" si="5"/>
        <v>1527.8900000000212</v>
      </c>
      <c r="N14" s="8">
        <v>8</v>
      </c>
      <c r="O14" s="8">
        <v>34</v>
      </c>
      <c r="P14" s="47"/>
      <c r="Q14" s="47"/>
      <c r="R14" s="256"/>
      <c r="T14" s="204"/>
      <c r="U14" s="370">
        <f t="shared" si="6"/>
        <v>1.8128865626710455</v>
      </c>
      <c r="V14" s="371"/>
      <c r="W14" s="68">
        <v>1.8</v>
      </c>
      <c r="X14" s="370">
        <f t="shared" si="2"/>
        <v>9.93643125</v>
      </c>
      <c r="Y14" s="68"/>
      <c r="Z14" s="372"/>
      <c r="AA14" s="197"/>
      <c r="AB14" s="204"/>
      <c r="AC14" s="205">
        <f t="shared" si="3"/>
        <v>323.025</v>
      </c>
      <c r="AD14" s="205">
        <f t="shared" si="3"/>
        <v>56.418749999999996</v>
      </c>
      <c r="AE14" s="205">
        <f t="shared" si="7"/>
        <v>82.80359374999999</v>
      </c>
      <c r="AF14" s="205">
        <f t="shared" si="7"/>
        <v>513.38228125</v>
      </c>
      <c r="AG14" s="205">
        <f t="shared" si="7"/>
        <v>356.055453125</v>
      </c>
      <c r="AH14" s="206">
        <f t="shared" si="8"/>
        <v>1331.685078125</v>
      </c>
      <c r="AI14" s="206">
        <f t="shared" si="9"/>
        <v>5520.239583333333</v>
      </c>
      <c r="AJ14" s="207">
        <f t="shared" si="10"/>
        <v>6851.9246614583335</v>
      </c>
      <c r="AK14" s="208"/>
      <c r="AL14" s="221">
        <f t="shared" si="11"/>
        <v>2997.5783333333334</v>
      </c>
      <c r="AM14" s="222">
        <f t="shared" si="12"/>
        <v>3854.346328125</v>
      </c>
      <c r="AN14" s="208"/>
      <c r="AO14" s="227">
        <f t="shared" si="4"/>
        <v>323.025</v>
      </c>
      <c r="AP14" s="227">
        <f t="shared" si="4"/>
        <v>56.418749999999996</v>
      </c>
      <c r="AQ14" s="205">
        <f t="shared" si="13"/>
        <v>82.80359374999999</v>
      </c>
      <c r="AR14" s="205">
        <f t="shared" si="13"/>
        <v>513.38228125</v>
      </c>
      <c r="AS14" s="205">
        <f t="shared" si="13"/>
        <v>99.91633645833333</v>
      </c>
      <c r="AT14" s="231">
        <f t="shared" si="14"/>
        <v>1075.5459614583333</v>
      </c>
    </row>
    <row r="15" spans="1:46" ht="11.25" customHeight="1">
      <c r="A15" s="8">
        <v>9</v>
      </c>
      <c r="B15" s="8">
        <v>35</v>
      </c>
      <c r="C15" s="8"/>
      <c r="D15" s="346">
        <v>4</v>
      </c>
      <c r="E15" s="17">
        <f>VLOOKUP(D15,'A13 - Tabelle'!$A$6:$F$13,6)</f>
        <v>54066.240000000005</v>
      </c>
      <c r="F15" s="17">
        <f>VLOOKUP(D15,'A13 - Tabelle'!$A$6:$G$13,7)</f>
        <v>40332.25</v>
      </c>
      <c r="G15" s="18">
        <f t="shared" si="0"/>
        <v>37812.25</v>
      </c>
      <c r="H15" s="19"/>
      <c r="I15" s="16">
        <v>5</v>
      </c>
      <c r="J15" s="17">
        <f>VLOOKUP(I15,'E13 - Tabelle'!$A$7:$L$19,11)</f>
        <v>66242.875</v>
      </c>
      <c r="K15" s="20">
        <f>VLOOKUP(I15,'E13 - Tabelle'!$A$7:$L$19,12)</f>
        <v>35970.94</v>
      </c>
      <c r="L15" s="28">
        <f t="shared" si="1"/>
        <v>-1841.3099999999977</v>
      </c>
      <c r="M15" s="150">
        <f t="shared" si="5"/>
        <v>-313.4199999999764</v>
      </c>
      <c r="N15" s="8">
        <v>9</v>
      </c>
      <c r="O15" s="8">
        <v>35</v>
      </c>
      <c r="P15" s="47"/>
      <c r="Q15" s="47"/>
      <c r="R15" s="256"/>
      <c r="T15" s="204"/>
      <c r="U15" s="370">
        <f t="shared" si="6"/>
        <v>1.8128865626710455</v>
      </c>
      <c r="V15" s="371"/>
      <c r="W15" s="68">
        <v>1.7</v>
      </c>
      <c r="X15" s="370">
        <f t="shared" si="2"/>
        <v>9.384407291666665</v>
      </c>
      <c r="Y15" s="68"/>
      <c r="Z15" s="372"/>
      <c r="AA15" s="197"/>
      <c r="AB15" s="204"/>
      <c r="AC15" s="205">
        <f t="shared" si="3"/>
        <v>323.025</v>
      </c>
      <c r="AD15" s="205">
        <f t="shared" si="3"/>
        <v>56.418749999999996</v>
      </c>
      <c r="AE15" s="205">
        <f t="shared" si="7"/>
        <v>82.80359374999999</v>
      </c>
      <c r="AF15" s="205">
        <f t="shared" si="7"/>
        <v>513.38228125</v>
      </c>
      <c r="AG15" s="205">
        <f t="shared" si="7"/>
        <v>356.055453125</v>
      </c>
      <c r="AH15" s="206">
        <f t="shared" si="8"/>
        <v>1331.685078125</v>
      </c>
      <c r="AI15" s="206">
        <f t="shared" si="9"/>
        <v>5520.239583333333</v>
      </c>
      <c r="AJ15" s="207">
        <f t="shared" si="10"/>
        <v>6851.9246614583335</v>
      </c>
      <c r="AK15" s="208"/>
      <c r="AL15" s="221">
        <f t="shared" si="11"/>
        <v>2997.5783333333334</v>
      </c>
      <c r="AM15" s="222">
        <f t="shared" si="12"/>
        <v>3854.346328125</v>
      </c>
      <c r="AN15" s="208"/>
      <c r="AO15" s="227">
        <f t="shared" si="4"/>
        <v>323.025</v>
      </c>
      <c r="AP15" s="227">
        <f t="shared" si="4"/>
        <v>56.418749999999996</v>
      </c>
      <c r="AQ15" s="205">
        <f t="shared" si="13"/>
        <v>82.80359374999999</v>
      </c>
      <c r="AR15" s="205">
        <f t="shared" si="13"/>
        <v>513.38228125</v>
      </c>
      <c r="AS15" s="205">
        <f t="shared" si="13"/>
        <v>99.91633645833333</v>
      </c>
      <c r="AT15" s="231">
        <f t="shared" si="14"/>
        <v>1075.5459614583333</v>
      </c>
    </row>
    <row r="16" spans="1:46" ht="11.25" customHeight="1">
      <c r="A16" s="8">
        <v>10</v>
      </c>
      <c r="B16" s="8">
        <v>36</v>
      </c>
      <c r="C16" s="8"/>
      <c r="D16" s="346">
        <v>4</v>
      </c>
      <c r="E16" s="17">
        <f>VLOOKUP(D16,'A13 - Tabelle'!$A$6:$F$13,6)</f>
        <v>54066.240000000005</v>
      </c>
      <c r="F16" s="17">
        <f>VLOOKUP(D16,'A13 - Tabelle'!$A$6:$G$13,7)</f>
        <v>40332.25</v>
      </c>
      <c r="G16" s="18">
        <f t="shared" si="0"/>
        <v>37812.25</v>
      </c>
      <c r="H16" s="19"/>
      <c r="I16" s="16">
        <v>5</v>
      </c>
      <c r="J16" s="17">
        <f>VLOOKUP(I16,'E13 - Tabelle'!$A$7:$L$19,11)</f>
        <v>66242.875</v>
      </c>
      <c r="K16" s="20">
        <f>VLOOKUP(I16,'E13 - Tabelle'!$A$7:$L$19,12)</f>
        <v>35970.94</v>
      </c>
      <c r="L16" s="28">
        <f t="shared" si="1"/>
        <v>-1841.3099999999977</v>
      </c>
      <c r="M16" s="32">
        <f t="shared" si="5"/>
        <v>-2154.729999999974</v>
      </c>
      <c r="N16" s="8">
        <v>10</v>
      </c>
      <c r="O16" s="8">
        <v>36</v>
      </c>
      <c r="P16" s="47"/>
      <c r="Q16" s="47"/>
      <c r="R16" s="256"/>
      <c r="T16" s="204"/>
      <c r="U16" s="370">
        <f t="shared" si="6"/>
        <v>1.8128865626710455</v>
      </c>
      <c r="V16" s="371"/>
      <c r="W16" s="68">
        <v>1.7</v>
      </c>
      <c r="X16" s="370">
        <f t="shared" si="2"/>
        <v>9.384407291666665</v>
      </c>
      <c r="Y16" s="68"/>
      <c r="Z16" s="372"/>
      <c r="AA16" s="197"/>
      <c r="AB16" s="204"/>
      <c r="AC16" s="205">
        <f t="shared" si="3"/>
        <v>323.025</v>
      </c>
      <c r="AD16" s="205">
        <f t="shared" si="3"/>
        <v>56.418749999999996</v>
      </c>
      <c r="AE16" s="205">
        <f t="shared" si="7"/>
        <v>82.80359374999999</v>
      </c>
      <c r="AF16" s="205">
        <f t="shared" si="7"/>
        <v>513.38228125</v>
      </c>
      <c r="AG16" s="205">
        <f t="shared" si="7"/>
        <v>356.055453125</v>
      </c>
      <c r="AH16" s="206">
        <f t="shared" si="8"/>
        <v>1331.685078125</v>
      </c>
      <c r="AI16" s="206">
        <f t="shared" si="9"/>
        <v>5520.239583333333</v>
      </c>
      <c r="AJ16" s="207">
        <f t="shared" si="10"/>
        <v>6851.9246614583335</v>
      </c>
      <c r="AK16" s="208"/>
      <c r="AL16" s="221">
        <f t="shared" si="11"/>
        <v>2997.5783333333334</v>
      </c>
      <c r="AM16" s="222">
        <f t="shared" si="12"/>
        <v>3854.346328125</v>
      </c>
      <c r="AN16" s="208"/>
      <c r="AO16" s="227">
        <f t="shared" si="4"/>
        <v>323.025</v>
      </c>
      <c r="AP16" s="227">
        <f t="shared" si="4"/>
        <v>56.418749999999996</v>
      </c>
      <c r="AQ16" s="205">
        <f t="shared" si="13"/>
        <v>82.80359374999999</v>
      </c>
      <c r="AR16" s="205">
        <f t="shared" si="13"/>
        <v>513.38228125</v>
      </c>
      <c r="AS16" s="205">
        <f t="shared" si="13"/>
        <v>99.91633645833333</v>
      </c>
      <c r="AT16" s="231">
        <f t="shared" si="14"/>
        <v>1075.5459614583333</v>
      </c>
    </row>
    <row r="17" spans="1:46" ht="11.25" customHeight="1">
      <c r="A17" s="8">
        <v>11</v>
      </c>
      <c r="B17" s="8">
        <v>37</v>
      </c>
      <c r="C17" s="8"/>
      <c r="D17" s="346">
        <v>5</v>
      </c>
      <c r="E17" s="17">
        <f>VLOOKUP(D17,'A13 - Tabelle'!$A$6:$F$13,6)</f>
        <v>56257.68000000001</v>
      </c>
      <c r="F17" s="17">
        <f>VLOOKUP(D17,'A13 - Tabelle'!$A$6:$G$13,7)</f>
        <v>41572.08</v>
      </c>
      <c r="G17" s="18">
        <f t="shared" si="0"/>
        <v>39052.08</v>
      </c>
      <c r="H17" s="19"/>
      <c r="I17" s="16">
        <v>5</v>
      </c>
      <c r="J17" s="17">
        <f>VLOOKUP(I17,'E13 - Tabelle'!$A$7:$L$19,11)</f>
        <v>66242.875</v>
      </c>
      <c r="K17" s="20">
        <f>VLOOKUP(I17,'E13 - Tabelle'!$A$7:$L$19,12)</f>
        <v>35970.94</v>
      </c>
      <c r="L17" s="28">
        <f t="shared" si="1"/>
        <v>-3081.1399999999994</v>
      </c>
      <c r="M17" s="32">
        <f t="shared" si="5"/>
        <v>-5235.8699999999735</v>
      </c>
      <c r="N17" s="8">
        <v>11</v>
      </c>
      <c r="O17" s="8">
        <v>37</v>
      </c>
      <c r="P17" s="47"/>
      <c r="Q17" s="47"/>
      <c r="R17" s="256"/>
      <c r="T17" s="204"/>
      <c r="U17" s="370">
        <f t="shared" si="6"/>
        <v>1.8128865626710455</v>
      </c>
      <c r="V17" s="371"/>
      <c r="W17" s="68">
        <v>1.6</v>
      </c>
      <c r="X17" s="370">
        <f t="shared" si="2"/>
        <v>8.832383333333333</v>
      </c>
      <c r="Y17" s="68"/>
      <c r="Z17" s="372"/>
      <c r="AA17" s="197"/>
      <c r="AB17" s="204"/>
      <c r="AC17" s="205">
        <f t="shared" si="3"/>
        <v>323.025</v>
      </c>
      <c r="AD17" s="205">
        <f t="shared" si="3"/>
        <v>56.418749999999996</v>
      </c>
      <c r="AE17" s="205">
        <f t="shared" si="7"/>
        <v>82.80359374999999</v>
      </c>
      <c r="AF17" s="205">
        <f t="shared" si="7"/>
        <v>513.38228125</v>
      </c>
      <c r="AG17" s="205">
        <f t="shared" si="7"/>
        <v>356.055453125</v>
      </c>
      <c r="AH17" s="206">
        <f t="shared" si="8"/>
        <v>1331.685078125</v>
      </c>
      <c r="AI17" s="206">
        <f t="shared" si="9"/>
        <v>5520.239583333333</v>
      </c>
      <c r="AJ17" s="207">
        <f t="shared" si="10"/>
        <v>6851.9246614583335</v>
      </c>
      <c r="AK17" s="208"/>
      <c r="AL17" s="221">
        <f t="shared" si="11"/>
        <v>2997.5783333333334</v>
      </c>
      <c r="AM17" s="222">
        <f t="shared" si="12"/>
        <v>3854.346328125</v>
      </c>
      <c r="AN17" s="208"/>
      <c r="AO17" s="227">
        <f t="shared" si="4"/>
        <v>323.025</v>
      </c>
      <c r="AP17" s="227">
        <f t="shared" si="4"/>
        <v>56.418749999999996</v>
      </c>
      <c r="AQ17" s="205">
        <f t="shared" si="13"/>
        <v>82.80359374999999</v>
      </c>
      <c r="AR17" s="205">
        <f t="shared" si="13"/>
        <v>513.38228125</v>
      </c>
      <c r="AS17" s="205">
        <f t="shared" si="13"/>
        <v>99.91633645833333</v>
      </c>
      <c r="AT17" s="231">
        <f t="shared" si="14"/>
        <v>1075.5459614583333</v>
      </c>
    </row>
    <row r="18" spans="1:46" ht="11.25" customHeight="1">
      <c r="A18" s="8">
        <v>12</v>
      </c>
      <c r="B18" s="8">
        <v>38</v>
      </c>
      <c r="C18" s="8"/>
      <c r="D18" s="346">
        <v>5</v>
      </c>
      <c r="E18" s="17">
        <f>VLOOKUP(D18,'A13 - Tabelle'!$A$6:$F$13,6)</f>
        <v>56257.68000000001</v>
      </c>
      <c r="F18" s="17">
        <f>VLOOKUP(D18,'A13 - Tabelle'!$A$6:$G$13,7)</f>
        <v>41572.08</v>
      </c>
      <c r="G18" s="18">
        <f t="shared" si="0"/>
        <v>39052.08</v>
      </c>
      <c r="H18" s="19"/>
      <c r="I18" s="16">
        <v>5</v>
      </c>
      <c r="J18" s="17">
        <f>VLOOKUP(I18,'E13 - Tabelle'!$A$7:$L$19,11)</f>
        <v>66242.875</v>
      </c>
      <c r="K18" s="20">
        <f>VLOOKUP(I18,'E13 - Tabelle'!$A$7:$L$19,12)</f>
        <v>35970.94</v>
      </c>
      <c r="L18" s="28">
        <f t="shared" si="1"/>
        <v>-3081.1399999999994</v>
      </c>
      <c r="M18" s="32">
        <f t="shared" si="5"/>
        <v>-8317.009999999973</v>
      </c>
      <c r="N18" s="8">
        <v>12</v>
      </c>
      <c r="O18" s="8">
        <v>38</v>
      </c>
      <c r="P18" s="47"/>
      <c r="Q18" s="47"/>
      <c r="R18" s="256"/>
      <c r="T18" s="204"/>
      <c r="U18" s="370">
        <f t="shared" si="6"/>
        <v>1.8128865626710455</v>
      </c>
      <c r="V18" s="371"/>
      <c r="W18" s="68">
        <v>1.6</v>
      </c>
      <c r="X18" s="370">
        <f t="shared" si="2"/>
        <v>8.832383333333333</v>
      </c>
      <c r="Y18" s="68"/>
      <c r="Z18" s="372"/>
      <c r="AA18" s="197"/>
      <c r="AB18" s="204"/>
      <c r="AC18" s="205">
        <f t="shared" si="3"/>
        <v>323.025</v>
      </c>
      <c r="AD18" s="205">
        <f t="shared" si="3"/>
        <v>56.418749999999996</v>
      </c>
      <c r="AE18" s="205">
        <f t="shared" si="7"/>
        <v>82.80359374999999</v>
      </c>
      <c r="AF18" s="205">
        <f t="shared" si="7"/>
        <v>513.38228125</v>
      </c>
      <c r="AG18" s="205">
        <f t="shared" si="7"/>
        <v>356.055453125</v>
      </c>
      <c r="AH18" s="206">
        <f t="shared" si="8"/>
        <v>1331.685078125</v>
      </c>
      <c r="AI18" s="206">
        <f t="shared" si="9"/>
        <v>5520.239583333333</v>
      </c>
      <c r="AJ18" s="207">
        <f t="shared" si="10"/>
        <v>6851.9246614583335</v>
      </c>
      <c r="AK18" s="208"/>
      <c r="AL18" s="221">
        <f t="shared" si="11"/>
        <v>2997.5783333333334</v>
      </c>
      <c r="AM18" s="222">
        <f t="shared" si="12"/>
        <v>3854.346328125</v>
      </c>
      <c r="AN18" s="208"/>
      <c r="AO18" s="227">
        <f t="shared" si="4"/>
        <v>323.025</v>
      </c>
      <c r="AP18" s="227">
        <f t="shared" si="4"/>
        <v>56.418749999999996</v>
      </c>
      <c r="AQ18" s="205">
        <f t="shared" si="13"/>
        <v>82.80359374999999</v>
      </c>
      <c r="AR18" s="205">
        <f t="shared" si="13"/>
        <v>513.38228125</v>
      </c>
      <c r="AS18" s="205">
        <f t="shared" si="13"/>
        <v>99.91633645833333</v>
      </c>
      <c r="AT18" s="231">
        <f t="shared" si="14"/>
        <v>1075.5459614583333</v>
      </c>
    </row>
    <row r="19" spans="1:46" ht="11.25" customHeight="1">
      <c r="A19" s="8">
        <v>13</v>
      </c>
      <c r="B19" s="8">
        <v>39</v>
      </c>
      <c r="C19" s="8"/>
      <c r="D19" s="346">
        <v>5</v>
      </c>
      <c r="E19" s="17">
        <f>VLOOKUP(D19,'A13 - Tabelle'!$A$6:$F$13,6)</f>
        <v>56257.68000000001</v>
      </c>
      <c r="F19" s="17">
        <f>VLOOKUP(D19,'A13 - Tabelle'!$A$6:$G$13,7)</f>
        <v>41572.08</v>
      </c>
      <c r="G19" s="18">
        <f t="shared" si="0"/>
        <v>39052.08</v>
      </c>
      <c r="H19" s="19"/>
      <c r="I19" s="16">
        <v>5</v>
      </c>
      <c r="J19" s="17">
        <f>VLOOKUP(I19,'E13 - Tabelle'!$A$7:$L$19,11)</f>
        <v>66242.875</v>
      </c>
      <c r="K19" s="20">
        <f>VLOOKUP(I19,'E13 - Tabelle'!$A$7:$L$19,12)</f>
        <v>35970.94</v>
      </c>
      <c r="L19" s="28">
        <f t="shared" si="1"/>
        <v>-3081.1399999999994</v>
      </c>
      <c r="M19" s="32">
        <f t="shared" si="5"/>
        <v>-11398.149999999972</v>
      </c>
      <c r="N19" s="8">
        <v>13</v>
      </c>
      <c r="O19" s="8">
        <v>39</v>
      </c>
      <c r="P19" s="47"/>
      <c r="Q19" s="47"/>
      <c r="R19" s="256"/>
      <c r="T19" s="204"/>
      <c r="U19" s="370">
        <f t="shared" si="6"/>
        <v>1.8128865626710455</v>
      </c>
      <c r="V19" s="371"/>
      <c r="W19" s="68">
        <v>1.6</v>
      </c>
      <c r="X19" s="370">
        <f t="shared" si="2"/>
        <v>8.832383333333333</v>
      </c>
      <c r="Y19" s="68"/>
      <c r="Z19" s="372"/>
      <c r="AA19" s="197"/>
      <c r="AB19" s="204"/>
      <c r="AC19" s="205">
        <f t="shared" si="3"/>
        <v>323.025</v>
      </c>
      <c r="AD19" s="205">
        <f t="shared" si="3"/>
        <v>56.418749999999996</v>
      </c>
      <c r="AE19" s="205">
        <f t="shared" si="7"/>
        <v>82.80359374999999</v>
      </c>
      <c r="AF19" s="205">
        <f t="shared" si="7"/>
        <v>513.38228125</v>
      </c>
      <c r="AG19" s="205">
        <f t="shared" si="7"/>
        <v>356.055453125</v>
      </c>
      <c r="AH19" s="206">
        <f t="shared" si="8"/>
        <v>1331.685078125</v>
      </c>
      <c r="AI19" s="206">
        <f t="shared" si="9"/>
        <v>5520.239583333333</v>
      </c>
      <c r="AJ19" s="207">
        <f t="shared" si="10"/>
        <v>6851.9246614583335</v>
      </c>
      <c r="AK19" s="208"/>
      <c r="AL19" s="221">
        <f t="shared" si="11"/>
        <v>2997.5783333333334</v>
      </c>
      <c r="AM19" s="222">
        <f t="shared" si="12"/>
        <v>3854.346328125</v>
      </c>
      <c r="AN19" s="208"/>
      <c r="AO19" s="227">
        <f t="shared" si="4"/>
        <v>323.025</v>
      </c>
      <c r="AP19" s="227">
        <f t="shared" si="4"/>
        <v>56.418749999999996</v>
      </c>
      <c r="AQ19" s="205">
        <f t="shared" si="13"/>
        <v>82.80359374999999</v>
      </c>
      <c r="AR19" s="205">
        <f t="shared" si="13"/>
        <v>513.38228125</v>
      </c>
      <c r="AS19" s="205">
        <f t="shared" si="13"/>
        <v>99.91633645833333</v>
      </c>
      <c r="AT19" s="231">
        <f t="shared" si="14"/>
        <v>1075.5459614583333</v>
      </c>
    </row>
    <row r="20" spans="1:46" ht="11.25" customHeight="1">
      <c r="A20" s="8">
        <v>14</v>
      </c>
      <c r="B20" s="8">
        <v>40</v>
      </c>
      <c r="C20" s="8"/>
      <c r="D20" s="346">
        <v>5</v>
      </c>
      <c r="E20" s="17">
        <f>VLOOKUP(D20,'A13 - Tabelle'!$A$6:$F$13,6)</f>
        <v>56257.68000000001</v>
      </c>
      <c r="F20" s="17">
        <f>VLOOKUP(D20,'A13 - Tabelle'!$A$6:$G$13,7)</f>
        <v>41572.08</v>
      </c>
      <c r="G20" s="18">
        <f t="shared" si="0"/>
        <v>39052.08</v>
      </c>
      <c r="H20" s="19"/>
      <c r="I20" s="16">
        <v>5</v>
      </c>
      <c r="J20" s="17">
        <f>VLOOKUP(I20,'E13 - Tabelle'!$A$7:$L$19,11)</f>
        <v>66242.875</v>
      </c>
      <c r="K20" s="20">
        <f>VLOOKUP(I20,'E13 - Tabelle'!$A$7:$L$19,12)</f>
        <v>35970.94</v>
      </c>
      <c r="L20" s="28">
        <f t="shared" si="1"/>
        <v>-3081.1399999999994</v>
      </c>
      <c r="M20" s="32">
        <f t="shared" si="5"/>
        <v>-14479.289999999972</v>
      </c>
      <c r="N20" s="8">
        <v>14</v>
      </c>
      <c r="O20" s="8">
        <v>40</v>
      </c>
      <c r="P20" s="47"/>
      <c r="Q20" s="47"/>
      <c r="R20" s="256"/>
      <c r="T20" s="204"/>
      <c r="U20" s="370">
        <f t="shared" si="6"/>
        <v>1.8128865626710455</v>
      </c>
      <c r="V20" s="371"/>
      <c r="W20" s="68">
        <v>1.5</v>
      </c>
      <c r="X20" s="370">
        <f t="shared" si="2"/>
        <v>8.280359375</v>
      </c>
      <c r="Y20" s="68"/>
      <c r="Z20" s="372"/>
      <c r="AA20" s="197"/>
      <c r="AB20" s="204"/>
      <c r="AC20" s="205">
        <f t="shared" si="3"/>
        <v>323.025</v>
      </c>
      <c r="AD20" s="205">
        <f t="shared" si="3"/>
        <v>56.418749999999996</v>
      </c>
      <c r="AE20" s="205">
        <f t="shared" si="7"/>
        <v>82.80359374999999</v>
      </c>
      <c r="AF20" s="205">
        <f t="shared" si="7"/>
        <v>513.38228125</v>
      </c>
      <c r="AG20" s="205">
        <f t="shared" si="7"/>
        <v>356.055453125</v>
      </c>
      <c r="AH20" s="206">
        <f t="shared" si="8"/>
        <v>1331.685078125</v>
      </c>
      <c r="AI20" s="206">
        <f t="shared" si="9"/>
        <v>5520.239583333333</v>
      </c>
      <c r="AJ20" s="207">
        <f t="shared" si="10"/>
        <v>6851.9246614583335</v>
      </c>
      <c r="AK20" s="208"/>
      <c r="AL20" s="221">
        <f t="shared" si="11"/>
        <v>2997.5783333333334</v>
      </c>
      <c r="AM20" s="222">
        <f t="shared" si="12"/>
        <v>3854.346328125</v>
      </c>
      <c r="AN20" s="208"/>
      <c r="AO20" s="227">
        <f t="shared" si="4"/>
        <v>323.025</v>
      </c>
      <c r="AP20" s="227">
        <f t="shared" si="4"/>
        <v>56.418749999999996</v>
      </c>
      <c r="AQ20" s="205">
        <f t="shared" si="13"/>
        <v>82.80359374999999</v>
      </c>
      <c r="AR20" s="205">
        <f t="shared" si="13"/>
        <v>513.38228125</v>
      </c>
      <c r="AS20" s="205">
        <f t="shared" si="13"/>
        <v>99.91633645833333</v>
      </c>
      <c r="AT20" s="231">
        <f t="shared" si="14"/>
        <v>1075.5459614583333</v>
      </c>
    </row>
    <row r="21" spans="1:46" ht="11.25" customHeight="1">
      <c r="A21" s="8">
        <v>15</v>
      </c>
      <c r="B21" s="8">
        <v>41</v>
      </c>
      <c r="C21" s="8"/>
      <c r="D21" s="346">
        <v>6</v>
      </c>
      <c r="E21" s="17">
        <f>VLOOKUP(D21,'A13 - Tabelle'!$A$6:$F$13,6)</f>
        <v>57295.799999999996</v>
      </c>
      <c r="F21" s="17">
        <f>VLOOKUP(D21,'A13 - Tabelle'!$A$6:$G$13,7)</f>
        <v>42151.28</v>
      </c>
      <c r="G21" s="18">
        <f t="shared" si="0"/>
        <v>39631.28</v>
      </c>
      <c r="H21" s="19"/>
      <c r="I21" s="16">
        <v>5</v>
      </c>
      <c r="J21" s="17">
        <f>VLOOKUP(I21,'E13 - Tabelle'!$A$7:$L$19,11)</f>
        <v>66242.875</v>
      </c>
      <c r="K21" s="20">
        <f>VLOOKUP(I21,'E13 - Tabelle'!$A$7:$L$19,12)</f>
        <v>35970.94</v>
      </c>
      <c r="L21" s="28">
        <f t="shared" si="1"/>
        <v>-3660.3399999999965</v>
      </c>
      <c r="M21" s="32">
        <f t="shared" si="5"/>
        <v>-18139.62999999997</v>
      </c>
      <c r="N21" s="8">
        <v>15</v>
      </c>
      <c r="O21" s="8">
        <v>41</v>
      </c>
      <c r="P21" s="47"/>
      <c r="Q21" s="47"/>
      <c r="R21" s="256"/>
      <c r="T21" s="204"/>
      <c r="U21" s="370">
        <f t="shared" si="6"/>
        <v>1.8128865626710455</v>
      </c>
      <c r="V21" s="371"/>
      <c r="W21" s="68">
        <v>1.5</v>
      </c>
      <c r="X21" s="370">
        <f t="shared" si="2"/>
        <v>8.280359375</v>
      </c>
      <c r="Y21" s="68"/>
      <c r="Z21" s="372"/>
      <c r="AA21" s="197"/>
      <c r="AB21" s="204"/>
      <c r="AC21" s="205">
        <f t="shared" si="3"/>
        <v>323.025</v>
      </c>
      <c r="AD21" s="205">
        <f t="shared" si="3"/>
        <v>56.418749999999996</v>
      </c>
      <c r="AE21" s="205">
        <f t="shared" si="7"/>
        <v>82.80359374999999</v>
      </c>
      <c r="AF21" s="205">
        <f t="shared" si="7"/>
        <v>513.38228125</v>
      </c>
      <c r="AG21" s="205">
        <f t="shared" si="7"/>
        <v>356.055453125</v>
      </c>
      <c r="AH21" s="206">
        <f t="shared" si="8"/>
        <v>1331.685078125</v>
      </c>
      <c r="AI21" s="206">
        <f t="shared" si="9"/>
        <v>5520.239583333333</v>
      </c>
      <c r="AJ21" s="207">
        <f t="shared" si="10"/>
        <v>6851.9246614583335</v>
      </c>
      <c r="AK21" s="208"/>
      <c r="AL21" s="221">
        <f t="shared" si="11"/>
        <v>2997.5783333333334</v>
      </c>
      <c r="AM21" s="222">
        <f t="shared" si="12"/>
        <v>3854.346328125</v>
      </c>
      <c r="AN21" s="208"/>
      <c r="AO21" s="227">
        <f t="shared" si="4"/>
        <v>323.025</v>
      </c>
      <c r="AP21" s="227">
        <f t="shared" si="4"/>
        <v>56.418749999999996</v>
      </c>
      <c r="AQ21" s="205">
        <f t="shared" si="13"/>
        <v>82.80359374999999</v>
      </c>
      <c r="AR21" s="205">
        <f t="shared" si="13"/>
        <v>513.38228125</v>
      </c>
      <c r="AS21" s="205">
        <f t="shared" si="13"/>
        <v>99.91633645833333</v>
      </c>
      <c r="AT21" s="231">
        <f t="shared" si="14"/>
        <v>1075.5459614583333</v>
      </c>
    </row>
    <row r="22" spans="1:46" ht="11.25" customHeight="1">
      <c r="A22" s="8">
        <v>16</v>
      </c>
      <c r="B22" s="8">
        <v>42</v>
      </c>
      <c r="C22" s="8"/>
      <c r="D22" s="346">
        <v>6</v>
      </c>
      <c r="E22" s="17">
        <f>VLOOKUP(D22,'A13 - Tabelle'!$A$6:$F$13,6)</f>
        <v>57295.799999999996</v>
      </c>
      <c r="F22" s="17">
        <f>VLOOKUP(D22,'A13 - Tabelle'!$A$6:$G$13,7)</f>
        <v>42151.28</v>
      </c>
      <c r="G22" s="18">
        <f t="shared" si="0"/>
        <v>39631.28</v>
      </c>
      <c r="H22" s="19"/>
      <c r="I22" s="16">
        <v>5</v>
      </c>
      <c r="J22" s="17">
        <f>VLOOKUP(I22,'E13 - Tabelle'!$A$7:$L$19,11)</f>
        <v>66242.875</v>
      </c>
      <c r="K22" s="20">
        <f>VLOOKUP(I22,'E13 - Tabelle'!$A$7:$L$19,12)</f>
        <v>35970.94</v>
      </c>
      <c r="L22" s="28">
        <f t="shared" si="1"/>
        <v>-3660.3399999999965</v>
      </c>
      <c r="M22" s="32">
        <f t="shared" si="5"/>
        <v>-21799.969999999965</v>
      </c>
      <c r="N22" s="8">
        <v>16</v>
      </c>
      <c r="O22" s="8">
        <v>42</v>
      </c>
      <c r="P22" s="47"/>
      <c r="Q22" s="47"/>
      <c r="R22" s="256"/>
      <c r="T22" s="204"/>
      <c r="U22" s="370">
        <f t="shared" si="6"/>
        <v>1.8128865626710455</v>
      </c>
      <c r="V22" s="371"/>
      <c r="W22" s="68">
        <v>1.4</v>
      </c>
      <c r="X22" s="370">
        <f t="shared" si="2"/>
        <v>7.728335416666665</v>
      </c>
      <c r="Y22" s="68"/>
      <c r="Z22" s="372"/>
      <c r="AA22" s="197"/>
      <c r="AB22" s="204"/>
      <c r="AC22" s="205">
        <f t="shared" si="3"/>
        <v>323.025</v>
      </c>
      <c r="AD22" s="205">
        <f t="shared" si="3"/>
        <v>56.418749999999996</v>
      </c>
      <c r="AE22" s="205">
        <f t="shared" si="7"/>
        <v>82.80359374999999</v>
      </c>
      <c r="AF22" s="205">
        <f t="shared" si="7"/>
        <v>513.38228125</v>
      </c>
      <c r="AG22" s="205">
        <f t="shared" si="7"/>
        <v>356.055453125</v>
      </c>
      <c r="AH22" s="206">
        <f t="shared" si="8"/>
        <v>1331.685078125</v>
      </c>
      <c r="AI22" s="206">
        <f t="shared" si="9"/>
        <v>5520.239583333333</v>
      </c>
      <c r="AJ22" s="207">
        <f t="shared" si="10"/>
        <v>6851.9246614583335</v>
      </c>
      <c r="AK22" s="208"/>
      <c r="AL22" s="221">
        <f t="shared" si="11"/>
        <v>2997.5783333333334</v>
      </c>
      <c r="AM22" s="222">
        <f t="shared" si="12"/>
        <v>3854.346328125</v>
      </c>
      <c r="AN22" s="208"/>
      <c r="AO22" s="227">
        <f t="shared" si="4"/>
        <v>323.025</v>
      </c>
      <c r="AP22" s="227">
        <f t="shared" si="4"/>
        <v>56.418749999999996</v>
      </c>
      <c r="AQ22" s="205">
        <f t="shared" si="13"/>
        <v>82.80359374999999</v>
      </c>
      <c r="AR22" s="205">
        <f t="shared" si="13"/>
        <v>513.38228125</v>
      </c>
      <c r="AS22" s="205">
        <f t="shared" si="13"/>
        <v>99.91633645833333</v>
      </c>
      <c r="AT22" s="231">
        <f t="shared" si="14"/>
        <v>1075.5459614583333</v>
      </c>
    </row>
    <row r="23" spans="1:46" ht="11.25" customHeight="1">
      <c r="A23" s="8">
        <v>17</v>
      </c>
      <c r="B23" s="8">
        <v>43</v>
      </c>
      <c r="C23" s="8"/>
      <c r="D23" s="346">
        <v>6</v>
      </c>
      <c r="E23" s="17">
        <f>VLOOKUP(D23,'A13 - Tabelle'!$A$6:$F$13,6)</f>
        <v>57295.799999999996</v>
      </c>
      <c r="F23" s="17">
        <f>VLOOKUP(D23,'A13 - Tabelle'!$A$6:$G$13,7)</f>
        <v>42151.28</v>
      </c>
      <c r="G23" s="18">
        <f t="shared" si="0"/>
        <v>39631.28</v>
      </c>
      <c r="H23" s="19"/>
      <c r="I23" s="16">
        <v>5</v>
      </c>
      <c r="J23" s="17">
        <f>VLOOKUP(I23,'E13 - Tabelle'!$A$7:$L$19,11)</f>
        <v>66242.875</v>
      </c>
      <c r="K23" s="20">
        <f>VLOOKUP(I23,'E13 - Tabelle'!$A$7:$L$19,12)</f>
        <v>35970.94</v>
      </c>
      <c r="L23" s="28">
        <f t="shared" si="1"/>
        <v>-3660.3399999999965</v>
      </c>
      <c r="M23" s="32">
        <f t="shared" si="5"/>
        <v>-25460.30999999996</v>
      </c>
      <c r="N23" s="8">
        <v>17</v>
      </c>
      <c r="O23" s="8">
        <v>43</v>
      </c>
      <c r="P23" s="47"/>
      <c r="Q23" s="47"/>
      <c r="R23" s="256"/>
      <c r="T23" s="204"/>
      <c r="U23" s="370">
        <f t="shared" si="6"/>
        <v>1.8128865626710455</v>
      </c>
      <c r="V23" s="371"/>
      <c r="W23" s="68">
        <v>1.4</v>
      </c>
      <c r="X23" s="370">
        <f t="shared" si="2"/>
        <v>7.728335416666665</v>
      </c>
      <c r="Y23" s="68"/>
      <c r="Z23" s="372"/>
      <c r="AA23" s="197"/>
      <c r="AB23" s="204"/>
      <c r="AC23" s="205">
        <f t="shared" si="3"/>
        <v>323.025</v>
      </c>
      <c r="AD23" s="205">
        <f t="shared" si="3"/>
        <v>56.418749999999996</v>
      </c>
      <c r="AE23" s="205">
        <f t="shared" si="7"/>
        <v>82.80359374999999</v>
      </c>
      <c r="AF23" s="205">
        <f t="shared" si="7"/>
        <v>513.38228125</v>
      </c>
      <c r="AG23" s="205">
        <f t="shared" si="7"/>
        <v>356.055453125</v>
      </c>
      <c r="AH23" s="206">
        <f t="shared" si="8"/>
        <v>1331.685078125</v>
      </c>
      <c r="AI23" s="206">
        <f t="shared" si="9"/>
        <v>5520.239583333333</v>
      </c>
      <c r="AJ23" s="207">
        <f t="shared" si="10"/>
        <v>6851.9246614583335</v>
      </c>
      <c r="AK23" s="208"/>
      <c r="AL23" s="221">
        <f t="shared" si="11"/>
        <v>2997.5783333333334</v>
      </c>
      <c r="AM23" s="222">
        <f t="shared" si="12"/>
        <v>3854.346328125</v>
      </c>
      <c r="AN23" s="208"/>
      <c r="AO23" s="227">
        <f t="shared" si="4"/>
        <v>323.025</v>
      </c>
      <c r="AP23" s="227">
        <f t="shared" si="4"/>
        <v>56.418749999999996</v>
      </c>
      <c r="AQ23" s="205">
        <f t="shared" si="13"/>
        <v>82.80359374999999</v>
      </c>
      <c r="AR23" s="205">
        <f t="shared" si="13"/>
        <v>513.38228125</v>
      </c>
      <c r="AS23" s="205">
        <f t="shared" si="13"/>
        <v>99.91633645833333</v>
      </c>
      <c r="AT23" s="231">
        <f t="shared" si="14"/>
        <v>1075.5459614583333</v>
      </c>
    </row>
    <row r="24" spans="1:46" ht="11.25" customHeight="1">
      <c r="A24" s="8">
        <v>18</v>
      </c>
      <c r="B24" s="8">
        <v>44</v>
      </c>
      <c r="C24" s="8"/>
      <c r="D24" s="346">
        <v>6</v>
      </c>
      <c r="E24" s="17">
        <f>VLOOKUP(D24,'A13 - Tabelle'!$A$6:$F$13,6)</f>
        <v>57295.799999999996</v>
      </c>
      <c r="F24" s="17">
        <f>VLOOKUP(D24,'A13 - Tabelle'!$A$6:$G$13,7)</f>
        <v>42151.28</v>
      </c>
      <c r="G24" s="18">
        <f t="shared" si="0"/>
        <v>39631.28</v>
      </c>
      <c r="H24" s="19"/>
      <c r="I24" s="16">
        <v>5</v>
      </c>
      <c r="J24" s="17">
        <f>VLOOKUP(I24,'E13 - Tabelle'!$A$7:$L$19,11)</f>
        <v>66242.875</v>
      </c>
      <c r="K24" s="20">
        <f>VLOOKUP(I24,'E13 - Tabelle'!$A$7:$L$19,12)</f>
        <v>35970.94</v>
      </c>
      <c r="L24" s="28">
        <f t="shared" si="1"/>
        <v>-3660.3399999999965</v>
      </c>
      <c r="M24" s="32">
        <f t="shared" si="5"/>
        <v>-29120.649999999958</v>
      </c>
      <c r="N24" s="8">
        <v>18</v>
      </c>
      <c r="O24" s="8">
        <v>44</v>
      </c>
      <c r="P24" s="47"/>
      <c r="Q24" s="47"/>
      <c r="R24" s="256"/>
      <c r="T24" s="204"/>
      <c r="U24" s="370">
        <f t="shared" si="6"/>
        <v>1.8128865626710455</v>
      </c>
      <c r="V24" s="371"/>
      <c r="W24" s="68">
        <v>1.3</v>
      </c>
      <c r="X24" s="370">
        <f t="shared" si="2"/>
        <v>7.176311458333333</v>
      </c>
      <c r="Y24" s="68"/>
      <c r="Z24" s="372"/>
      <c r="AA24" s="197"/>
      <c r="AB24" s="204"/>
      <c r="AC24" s="205">
        <f t="shared" si="3"/>
        <v>323.025</v>
      </c>
      <c r="AD24" s="205">
        <f t="shared" si="3"/>
        <v>56.418749999999996</v>
      </c>
      <c r="AE24" s="205">
        <f t="shared" si="7"/>
        <v>82.80359374999999</v>
      </c>
      <c r="AF24" s="205">
        <f t="shared" si="7"/>
        <v>513.38228125</v>
      </c>
      <c r="AG24" s="205">
        <f t="shared" si="7"/>
        <v>356.055453125</v>
      </c>
      <c r="AH24" s="206">
        <f t="shared" si="8"/>
        <v>1331.685078125</v>
      </c>
      <c r="AI24" s="206">
        <f t="shared" si="9"/>
        <v>5520.239583333333</v>
      </c>
      <c r="AJ24" s="207">
        <f t="shared" si="10"/>
        <v>6851.9246614583335</v>
      </c>
      <c r="AK24" s="208"/>
      <c r="AL24" s="221">
        <f t="shared" si="11"/>
        <v>2997.5783333333334</v>
      </c>
      <c r="AM24" s="222">
        <f t="shared" si="12"/>
        <v>3854.346328125</v>
      </c>
      <c r="AN24" s="208"/>
      <c r="AO24" s="227">
        <f t="shared" si="4"/>
        <v>323.025</v>
      </c>
      <c r="AP24" s="227">
        <f t="shared" si="4"/>
        <v>56.418749999999996</v>
      </c>
      <c r="AQ24" s="205">
        <f t="shared" si="13"/>
        <v>82.80359374999999</v>
      </c>
      <c r="AR24" s="205">
        <f t="shared" si="13"/>
        <v>513.38228125</v>
      </c>
      <c r="AS24" s="205">
        <f t="shared" si="13"/>
        <v>99.91633645833333</v>
      </c>
      <c r="AT24" s="231">
        <f t="shared" si="14"/>
        <v>1075.5459614583333</v>
      </c>
    </row>
    <row r="25" spans="1:46" ht="11.25" customHeight="1">
      <c r="A25" s="8">
        <v>19</v>
      </c>
      <c r="B25" s="8">
        <v>45</v>
      </c>
      <c r="C25" s="8"/>
      <c r="D25" s="346">
        <v>7</v>
      </c>
      <c r="E25" s="17">
        <f>VLOOKUP(D25,'A13 - Tabelle'!$A$6:$F$13,6)</f>
        <v>59487.12</v>
      </c>
      <c r="F25" s="17">
        <f>VLOOKUP(D25,'A13 - Tabelle'!$A$6:$G$13,7)</f>
        <v>43372</v>
      </c>
      <c r="G25" s="18">
        <f t="shared" si="0"/>
        <v>40852</v>
      </c>
      <c r="H25" s="19"/>
      <c r="I25" s="16">
        <v>5</v>
      </c>
      <c r="J25" s="17">
        <f>VLOOKUP(I25,'E13 - Tabelle'!$A$7:$L$19,11)</f>
        <v>66242.875</v>
      </c>
      <c r="K25" s="20">
        <f>VLOOKUP(I25,'E13 - Tabelle'!$A$7:$L$19,12)</f>
        <v>35970.94</v>
      </c>
      <c r="L25" s="28">
        <f t="shared" si="1"/>
        <v>-4881.059999999998</v>
      </c>
      <c r="M25" s="32">
        <f t="shared" si="5"/>
        <v>-34001.709999999955</v>
      </c>
      <c r="N25" s="8">
        <v>19</v>
      </c>
      <c r="O25" s="8">
        <v>45</v>
      </c>
      <c r="P25" s="47"/>
      <c r="Q25" s="47"/>
      <c r="R25" s="256"/>
      <c r="T25" s="204"/>
      <c r="U25" s="370">
        <f t="shared" si="6"/>
        <v>1.8128865626710455</v>
      </c>
      <c r="V25" s="371"/>
      <c r="W25" s="68">
        <v>1.3</v>
      </c>
      <c r="X25" s="370">
        <f t="shared" si="2"/>
        <v>7.176311458333333</v>
      </c>
      <c r="Y25" s="68"/>
      <c r="Z25" s="372"/>
      <c r="AA25" s="197"/>
      <c r="AB25" s="204"/>
      <c r="AC25" s="205">
        <f t="shared" si="3"/>
        <v>323.025</v>
      </c>
      <c r="AD25" s="205">
        <f t="shared" si="3"/>
        <v>56.418749999999996</v>
      </c>
      <c r="AE25" s="205">
        <f t="shared" si="7"/>
        <v>82.80359374999999</v>
      </c>
      <c r="AF25" s="205">
        <f t="shared" si="7"/>
        <v>513.38228125</v>
      </c>
      <c r="AG25" s="205">
        <f t="shared" si="7"/>
        <v>356.055453125</v>
      </c>
      <c r="AH25" s="206">
        <f t="shared" si="8"/>
        <v>1331.685078125</v>
      </c>
      <c r="AI25" s="206">
        <f t="shared" si="9"/>
        <v>5520.239583333333</v>
      </c>
      <c r="AJ25" s="207">
        <f t="shared" si="10"/>
        <v>6851.9246614583335</v>
      </c>
      <c r="AK25" s="208"/>
      <c r="AL25" s="221">
        <f t="shared" si="11"/>
        <v>2997.5783333333334</v>
      </c>
      <c r="AM25" s="222">
        <f t="shared" si="12"/>
        <v>3854.346328125</v>
      </c>
      <c r="AN25" s="208"/>
      <c r="AO25" s="227">
        <f t="shared" si="4"/>
        <v>323.025</v>
      </c>
      <c r="AP25" s="227">
        <f t="shared" si="4"/>
        <v>56.418749999999996</v>
      </c>
      <c r="AQ25" s="205">
        <f t="shared" si="13"/>
        <v>82.80359374999999</v>
      </c>
      <c r="AR25" s="205">
        <f t="shared" si="13"/>
        <v>513.38228125</v>
      </c>
      <c r="AS25" s="205">
        <f t="shared" si="13"/>
        <v>99.91633645833333</v>
      </c>
      <c r="AT25" s="231">
        <f t="shared" si="14"/>
        <v>1075.5459614583333</v>
      </c>
    </row>
    <row r="26" spans="1:46" ht="11.25" customHeight="1">
      <c r="A26" s="8">
        <v>20</v>
      </c>
      <c r="B26" s="8">
        <v>46</v>
      </c>
      <c r="C26" s="8"/>
      <c r="D26" s="346">
        <v>7</v>
      </c>
      <c r="E26" s="17">
        <f>VLOOKUP(D26,'A13 - Tabelle'!$A$6:$F$13,6)</f>
        <v>59487.12</v>
      </c>
      <c r="F26" s="17">
        <f>VLOOKUP(D26,'A13 - Tabelle'!$A$6:$G$13,7)</f>
        <v>43372</v>
      </c>
      <c r="G26" s="18">
        <f t="shared" si="0"/>
        <v>40852</v>
      </c>
      <c r="H26" s="19"/>
      <c r="I26" s="16">
        <v>5</v>
      </c>
      <c r="J26" s="17">
        <f>VLOOKUP(I26,'E13 - Tabelle'!$A$7:$L$19,11)</f>
        <v>66242.875</v>
      </c>
      <c r="K26" s="20">
        <f>VLOOKUP(I26,'E13 - Tabelle'!$A$7:$L$19,12)</f>
        <v>35970.94</v>
      </c>
      <c r="L26" s="28">
        <f t="shared" si="1"/>
        <v>-4881.059999999998</v>
      </c>
      <c r="M26" s="32">
        <f t="shared" si="5"/>
        <v>-38882.76999999995</v>
      </c>
      <c r="N26" s="8">
        <v>20</v>
      </c>
      <c r="O26" s="8">
        <v>46</v>
      </c>
      <c r="P26" s="47"/>
      <c r="Q26" s="47"/>
      <c r="R26" s="256"/>
      <c r="T26" s="204"/>
      <c r="U26" s="370">
        <f t="shared" si="6"/>
        <v>1.8128865626710455</v>
      </c>
      <c r="V26" s="371"/>
      <c r="W26" s="68">
        <v>1.3</v>
      </c>
      <c r="X26" s="370">
        <f t="shared" si="2"/>
        <v>7.176311458333333</v>
      </c>
      <c r="Y26" s="68"/>
      <c r="Z26" s="372"/>
      <c r="AA26" s="197"/>
      <c r="AB26" s="204"/>
      <c r="AC26" s="205">
        <f t="shared" si="3"/>
        <v>323.025</v>
      </c>
      <c r="AD26" s="205">
        <f t="shared" si="3"/>
        <v>56.418749999999996</v>
      </c>
      <c r="AE26" s="205">
        <f t="shared" si="7"/>
        <v>82.80359374999999</v>
      </c>
      <c r="AF26" s="205">
        <f t="shared" si="7"/>
        <v>513.38228125</v>
      </c>
      <c r="AG26" s="205">
        <f t="shared" si="7"/>
        <v>356.055453125</v>
      </c>
      <c r="AH26" s="206">
        <f t="shared" si="8"/>
        <v>1331.685078125</v>
      </c>
      <c r="AI26" s="206">
        <f t="shared" si="9"/>
        <v>5520.239583333333</v>
      </c>
      <c r="AJ26" s="207">
        <f t="shared" si="10"/>
        <v>6851.9246614583335</v>
      </c>
      <c r="AK26" s="208"/>
      <c r="AL26" s="221">
        <f t="shared" si="11"/>
        <v>2997.5783333333334</v>
      </c>
      <c r="AM26" s="222">
        <f t="shared" si="12"/>
        <v>3854.346328125</v>
      </c>
      <c r="AN26" s="208"/>
      <c r="AO26" s="227">
        <f t="shared" si="4"/>
        <v>323.025</v>
      </c>
      <c r="AP26" s="227">
        <f t="shared" si="4"/>
        <v>56.418749999999996</v>
      </c>
      <c r="AQ26" s="205">
        <f t="shared" si="13"/>
        <v>82.80359374999999</v>
      </c>
      <c r="AR26" s="205">
        <f t="shared" si="13"/>
        <v>513.38228125</v>
      </c>
      <c r="AS26" s="205">
        <f t="shared" si="13"/>
        <v>99.91633645833333</v>
      </c>
      <c r="AT26" s="231">
        <f t="shared" si="14"/>
        <v>1075.5459614583333</v>
      </c>
    </row>
    <row r="27" spans="1:46" ht="11.25" customHeight="1">
      <c r="A27" s="8">
        <v>21</v>
      </c>
      <c r="B27" s="8">
        <v>47</v>
      </c>
      <c r="C27" s="8"/>
      <c r="D27" s="346">
        <v>7</v>
      </c>
      <c r="E27" s="17">
        <f>VLOOKUP(D27,'A13 - Tabelle'!$A$6:$F$13,6)</f>
        <v>59487.12</v>
      </c>
      <c r="F27" s="17">
        <f>VLOOKUP(D27,'A13 - Tabelle'!$A$6:$G$13,7)</f>
        <v>43372</v>
      </c>
      <c r="G27" s="18">
        <f t="shared" si="0"/>
        <v>40852</v>
      </c>
      <c r="H27" s="19"/>
      <c r="I27" s="16">
        <v>5</v>
      </c>
      <c r="J27" s="17">
        <f>VLOOKUP(I27,'E13 - Tabelle'!$A$7:$L$19,11)</f>
        <v>66242.875</v>
      </c>
      <c r="K27" s="20">
        <f>VLOOKUP(I27,'E13 - Tabelle'!$A$7:$L$19,12)</f>
        <v>35970.94</v>
      </c>
      <c r="L27" s="28">
        <f t="shared" si="1"/>
        <v>-4881.059999999998</v>
      </c>
      <c r="M27" s="32">
        <f t="shared" si="5"/>
        <v>-43763.82999999995</v>
      </c>
      <c r="N27" s="8">
        <v>21</v>
      </c>
      <c r="O27" s="8">
        <v>47</v>
      </c>
      <c r="P27" s="49"/>
      <c r="Q27" s="49"/>
      <c r="R27" s="256"/>
      <c r="T27" s="204"/>
      <c r="U27" s="370">
        <f t="shared" si="6"/>
        <v>1.8128865626710455</v>
      </c>
      <c r="V27" s="371"/>
      <c r="W27" s="68">
        <v>1.2</v>
      </c>
      <c r="X27" s="370">
        <f t="shared" si="2"/>
        <v>6.624287499999999</v>
      </c>
      <c r="Y27" s="68"/>
      <c r="Z27" s="372"/>
      <c r="AA27" s="197"/>
      <c r="AB27" s="204"/>
      <c r="AC27" s="205">
        <f aca="true" t="shared" si="15" ref="AC27:AD46">IF(($J27&lt;$AJ$1),$J27/12*AC$5,$AJ$1/12*AC$5)</f>
        <v>323.025</v>
      </c>
      <c r="AD27" s="205">
        <f t="shared" si="15"/>
        <v>56.418749999999996</v>
      </c>
      <c r="AE27" s="205">
        <f t="shared" si="7"/>
        <v>82.80359374999999</v>
      </c>
      <c r="AF27" s="205">
        <f t="shared" si="7"/>
        <v>513.38228125</v>
      </c>
      <c r="AG27" s="205">
        <f t="shared" si="7"/>
        <v>356.055453125</v>
      </c>
      <c r="AH27" s="206">
        <f t="shared" si="8"/>
        <v>1331.685078125</v>
      </c>
      <c r="AI27" s="206">
        <f t="shared" si="9"/>
        <v>5520.239583333333</v>
      </c>
      <c r="AJ27" s="207">
        <f t="shared" si="10"/>
        <v>6851.9246614583335</v>
      </c>
      <c r="AK27" s="208"/>
      <c r="AL27" s="221">
        <f t="shared" si="11"/>
        <v>2997.5783333333334</v>
      </c>
      <c r="AM27" s="222">
        <f t="shared" si="12"/>
        <v>3854.346328125</v>
      </c>
      <c r="AN27" s="208"/>
      <c r="AO27" s="227">
        <f aca="true" t="shared" si="16" ref="AO27:AP46">IF(($J27&lt;$AJ$1),$J27/12*AO$5,$AJ$1/12*AO$5)</f>
        <v>323.025</v>
      </c>
      <c r="AP27" s="227">
        <f t="shared" si="16"/>
        <v>56.418749999999996</v>
      </c>
      <c r="AQ27" s="205">
        <f t="shared" si="13"/>
        <v>82.80359374999999</v>
      </c>
      <c r="AR27" s="205">
        <f t="shared" si="13"/>
        <v>513.38228125</v>
      </c>
      <c r="AS27" s="205">
        <f t="shared" si="13"/>
        <v>99.91633645833333</v>
      </c>
      <c r="AT27" s="231">
        <f t="shared" si="14"/>
        <v>1075.5459614583333</v>
      </c>
    </row>
    <row r="28" spans="1:46" ht="11.25" customHeight="1">
      <c r="A28" s="8">
        <v>22</v>
      </c>
      <c r="B28" s="8">
        <v>48</v>
      </c>
      <c r="C28" s="8"/>
      <c r="D28" s="346">
        <v>7</v>
      </c>
      <c r="E28" s="17">
        <f>VLOOKUP(D28,'A13 - Tabelle'!$A$6:$F$13,6)</f>
        <v>59487.12</v>
      </c>
      <c r="F28" s="17">
        <f>VLOOKUP(D28,'A13 - Tabelle'!$A$6:$G$13,7)</f>
        <v>43372</v>
      </c>
      <c r="G28" s="18">
        <f t="shared" si="0"/>
        <v>40852</v>
      </c>
      <c r="H28" s="19"/>
      <c r="I28" s="16">
        <v>5</v>
      </c>
      <c r="J28" s="17">
        <f>VLOOKUP(I28,'E13 - Tabelle'!$A$7:$L$19,11)</f>
        <v>66242.875</v>
      </c>
      <c r="K28" s="20">
        <f>VLOOKUP(I28,'E13 - Tabelle'!$A$7:$L$19,12)</f>
        <v>35970.94</v>
      </c>
      <c r="L28" s="28">
        <f t="shared" si="1"/>
        <v>-4881.059999999998</v>
      </c>
      <c r="M28" s="32">
        <f t="shared" si="5"/>
        <v>-48644.88999999995</v>
      </c>
      <c r="N28" s="8">
        <v>22</v>
      </c>
      <c r="O28" s="8">
        <v>48</v>
      </c>
      <c r="P28" s="47"/>
      <c r="Q28" s="47"/>
      <c r="R28" s="256"/>
      <c r="T28" s="204"/>
      <c r="U28" s="370">
        <f t="shared" si="6"/>
        <v>1.8128865626710455</v>
      </c>
      <c r="V28" s="371"/>
      <c r="W28" s="68">
        <v>1.2</v>
      </c>
      <c r="X28" s="370">
        <f t="shared" si="2"/>
        <v>6.624287499999999</v>
      </c>
      <c r="Y28" s="68"/>
      <c r="Z28" s="372"/>
      <c r="AA28" s="197"/>
      <c r="AB28" s="204"/>
      <c r="AC28" s="205">
        <f t="shared" si="15"/>
        <v>323.025</v>
      </c>
      <c r="AD28" s="205">
        <f t="shared" si="15"/>
        <v>56.418749999999996</v>
      </c>
      <c r="AE28" s="205">
        <f t="shared" si="7"/>
        <v>82.80359374999999</v>
      </c>
      <c r="AF28" s="205">
        <f t="shared" si="7"/>
        <v>513.38228125</v>
      </c>
      <c r="AG28" s="205">
        <f t="shared" si="7"/>
        <v>356.055453125</v>
      </c>
      <c r="AH28" s="206">
        <f t="shared" si="8"/>
        <v>1331.685078125</v>
      </c>
      <c r="AI28" s="206">
        <f t="shared" si="9"/>
        <v>5520.239583333333</v>
      </c>
      <c r="AJ28" s="207">
        <f t="shared" si="10"/>
        <v>6851.9246614583335</v>
      </c>
      <c r="AK28" s="208"/>
      <c r="AL28" s="221">
        <f t="shared" si="11"/>
        <v>2997.5783333333334</v>
      </c>
      <c r="AM28" s="222">
        <f t="shared" si="12"/>
        <v>3854.346328125</v>
      </c>
      <c r="AN28" s="208"/>
      <c r="AO28" s="227">
        <f t="shared" si="16"/>
        <v>323.025</v>
      </c>
      <c r="AP28" s="227">
        <f t="shared" si="16"/>
        <v>56.418749999999996</v>
      </c>
      <c r="AQ28" s="205">
        <f t="shared" si="13"/>
        <v>82.80359374999999</v>
      </c>
      <c r="AR28" s="205">
        <f t="shared" si="13"/>
        <v>513.38228125</v>
      </c>
      <c r="AS28" s="205">
        <f t="shared" si="13"/>
        <v>99.91633645833333</v>
      </c>
      <c r="AT28" s="231">
        <f t="shared" si="14"/>
        <v>1075.5459614583333</v>
      </c>
    </row>
    <row r="29" spans="1:46" ht="11.25" customHeight="1">
      <c r="A29" s="8">
        <v>23</v>
      </c>
      <c r="B29" s="8">
        <v>49</v>
      </c>
      <c r="C29" s="8"/>
      <c r="D29" s="346">
        <v>8</v>
      </c>
      <c r="E29" s="17">
        <f>VLOOKUP(D29,'A13 - Tabelle'!$A$6:$F$13,6)</f>
        <v>60640.31999999999</v>
      </c>
      <c r="F29" s="17">
        <f>VLOOKUP(D29,'A13 - Tabelle'!$A$6:$G$13,7)</f>
        <v>44013.52</v>
      </c>
      <c r="G29" s="18">
        <f t="shared" si="0"/>
        <v>41493.52</v>
      </c>
      <c r="H29" s="19"/>
      <c r="I29" s="16">
        <v>5</v>
      </c>
      <c r="J29" s="17">
        <f>VLOOKUP(I29,'E13 - Tabelle'!$A$7:$L$19,11)</f>
        <v>66242.875</v>
      </c>
      <c r="K29" s="20">
        <f>VLOOKUP(I29,'E13 - Tabelle'!$A$7:$L$19,12)</f>
        <v>35970.94</v>
      </c>
      <c r="L29" s="28">
        <f t="shared" si="1"/>
        <v>-5522.5799999999945</v>
      </c>
      <c r="M29" s="32">
        <f t="shared" si="5"/>
        <v>-54167.46999999994</v>
      </c>
      <c r="N29" s="8">
        <v>23</v>
      </c>
      <c r="O29" s="8">
        <v>49</v>
      </c>
      <c r="P29" s="47"/>
      <c r="Q29" s="47"/>
      <c r="R29" s="256"/>
      <c r="T29" s="204"/>
      <c r="U29" s="370">
        <f t="shared" si="6"/>
        <v>1.8128865626710455</v>
      </c>
      <c r="V29" s="371"/>
      <c r="W29" s="68">
        <v>1.2</v>
      </c>
      <c r="X29" s="370">
        <f t="shared" si="2"/>
        <v>6.624287499999999</v>
      </c>
      <c r="Y29" s="68"/>
      <c r="Z29" s="372"/>
      <c r="AA29" s="197"/>
      <c r="AB29" s="204"/>
      <c r="AC29" s="205">
        <f t="shared" si="15"/>
        <v>323.025</v>
      </c>
      <c r="AD29" s="205">
        <f t="shared" si="15"/>
        <v>56.418749999999996</v>
      </c>
      <c r="AE29" s="205">
        <f t="shared" si="7"/>
        <v>82.80359374999999</v>
      </c>
      <c r="AF29" s="205">
        <f t="shared" si="7"/>
        <v>513.38228125</v>
      </c>
      <c r="AG29" s="205">
        <f t="shared" si="7"/>
        <v>356.055453125</v>
      </c>
      <c r="AH29" s="206">
        <f t="shared" si="8"/>
        <v>1331.685078125</v>
      </c>
      <c r="AI29" s="206">
        <f t="shared" si="9"/>
        <v>5520.239583333333</v>
      </c>
      <c r="AJ29" s="207">
        <f t="shared" si="10"/>
        <v>6851.9246614583335</v>
      </c>
      <c r="AK29" s="208"/>
      <c r="AL29" s="221">
        <f t="shared" si="11"/>
        <v>2997.5783333333334</v>
      </c>
      <c r="AM29" s="222">
        <f t="shared" si="12"/>
        <v>3854.346328125</v>
      </c>
      <c r="AN29" s="208"/>
      <c r="AO29" s="227">
        <f t="shared" si="16"/>
        <v>323.025</v>
      </c>
      <c r="AP29" s="227">
        <f t="shared" si="16"/>
        <v>56.418749999999996</v>
      </c>
      <c r="AQ29" s="205">
        <f t="shared" si="13"/>
        <v>82.80359374999999</v>
      </c>
      <c r="AR29" s="205">
        <f t="shared" si="13"/>
        <v>513.38228125</v>
      </c>
      <c r="AS29" s="205">
        <f t="shared" si="13"/>
        <v>99.91633645833333</v>
      </c>
      <c r="AT29" s="231">
        <f t="shared" si="14"/>
        <v>1075.5459614583333</v>
      </c>
    </row>
    <row r="30" spans="1:46" ht="11.25" customHeight="1">
      <c r="A30" s="8">
        <v>24</v>
      </c>
      <c r="B30" s="8">
        <v>50</v>
      </c>
      <c r="C30" s="8"/>
      <c r="D30" s="346">
        <v>8</v>
      </c>
      <c r="E30" s="17">
        <f>VLOOKUP(D30,'A13 - Tabelle'!$A$6:$F$13,6)</f>
        <v>60640.31999999999</v>
      </c>
      <c r="F30" s="17">
        <f>VLOOKUP(D30,'A13 - Tabelle'!$A$6:$G$13,7)</f>
        <v>44013.52</v>
      </c>
      <c r="G30" s="18">
        <f t="shared" si="0"/>
        <v>41493.52</v>
      </c>
      <c r="H30" s="19"/>
      <c r="I30" s="16">
        <v>5</v>
      </c>
      <c r="J30" s="17">
        <f>VLOOKUP(I30,'E13 - Tabelle'!$A$7:$L$19,11)</f>
        <v>66242.875</v>
      </c>
      <c r="K30" s="20">
        <f>VLOOKUP(I30,'E13 - Tabelle'!$A$7:$L$19,12)</f>
        <v>35970.94</v>
      </c>
      <c r="L30" s="28">
        <f t="shared" si="1"/>
        <v>-5522.5799999999945</v>
      </c>
      <c r="M30" s="32">
        <f t="shared" si="5"/>
        <v>-59690.04999999994</v>
      </c>
      <c r="N30" s="8">
        <v>24</v>
      </c>
      <c r="O30" s="8">
        <v>50</v>
      </c>
      <c r="P30" s="47"/>
      <c r="Q30" s="47"/>
      <c r="R30" s="256"/>
      <c r="T30" s="204"/>
      <c r="U30" s="370">
        <f t="shared" si="6"/>
        <v>1.8128865626710455</v>
      </c>
      <c r="V30" s="371"/>
      <c r="W30" s="68">
        <v>1.1</v>
      </c>
      <c r="X30" s="370">
        <f t="shared" si="2"/>
        <v>6.072263541666667</v>
      </c>
      <c r="Y30" s="68"/>
      <c r="Z30" s="372"/>
      <c r="AA30" s="197"/>
      <c r="AB30" s="204"/>
      <c r="AC30" s="205">
        <f t="shared" si="15"/>
        <v>323.025</v>
      </c>
      <c r="AD30" s="205">
        <f t="shared" si="15"/>
        <v>56.418749999999996</v>
      </c>
      <c r="AE30" s="205">
        <f t="shared" si="7"/>
        <v>82.80359374999999</v>
      </c>
      <c r="AF30" s="205">
        <f t="shared" si="7"/>
        <v>513.38228125</v>
      </c>
      <c r="AG30" s="205">
        <f t="shared" si="7"/>
        <v>356.055453125</v>
      </c>
      <c r="AH30" s="206">
        <f t="shared" si="8"/>
        <v>1331.685078125</v>
      </c>
      <c r="AI30" s="206">
        <f t="shared" si="9"/>
        <v>5520.239583333333</v>
      </c>
      <c r="AJ30" s="207">
        <f t="shared" si="10"/>
        <v>6851.9246614583335</v>
      </c>
      <c r="AK30" s="208"/>
      <c r="AL30" s="221">
        <f t="shared" si="11"/>
        <v>2997.5783333333334</v>
      </c>
      <c r="AM30" s="222">
        <f t="shared" si="12"/>
        <v>3854.346328125</v>
      </c>
      <c r="AN30" s="208"/>
      <c r="AO30" s="227">
        <f t="shared" si="16"/>
        <v>323.025</v>
      </c>
      <c r="AP30" s="227">
        <f t="shared" si="16"/>
        <v>56.418749999999996</v>
      </c>
      <c r="AQ30" s="205">
        <f t="shared" si="13"/>
        <v>82.80359374999999</v>
      </c>
      <c r="AR30" s="205">
        <f t="shared" si="13"/>
        <v>513.38228125</v>
      </c>
      <c r="AS30" s="205">
        <f t="shared" si="13"/>
        <v>99.91633645833333</v>
      </c>
      <c r="AT30" s="231">
        <f t="shared" si="14"/>
        <v>1075.5459614583333</v>
      </c>
    </row>
    <row r="31" spans="1:46" ht="11.25" customHeight="1">
      <c r="A31" s="8">
        <v>25</v>
      </c>
      <c r="B31" s="8">
        <v>51</v>
      </c>
      <c r="C31" s="8"/>
      <c r="D31" s="16">
        <v>8</v>
      </c>
      <c r="E31" s="17">
        <f>VLOOKUP(D31,'A13 - Tabelle'!$A$6:$F$13,6)</f>
        <v>60640.31999999999</v>
      </c>
      <c r="F31" s="17">
        <f>VLOOKUP(D31,'A13 - Tabelle'!$A$6:$G$13,7)</f>
        <v>44013.52</v>
      </c>
      <c r="G31" s="18">
        <f t="shared" si="0"/>
        <v>41493.52</v>
      </c>
      <c r="H31" s="19"/>
      <c r="I31" s="16">
        <v>5</v>
      </c>
      <c r="J31" s="17">
        <f>VLOOKUP(I31,'E13 - Tabelle'!$A$7:$L$19,11)</f>
        <v>66242.875</v>
      </c>
      <c r="K31" s="20">
        <f>VLOOKUP(I31,'E13 - Tabelle'!$A$7:$L$19,12)</f>
        <v>35970.94</v>
      </c>
      <c r="L31" s="28">
        <f t="shared" si="1"/>
        <v>-5522.5799999999945</v>
      </c>
      <c r="M31" s="32">
        <f t="shared" si="5"/>
        <v>-65212.62999999993</v>
      </c>
      <c r="N31" s="8">
        <v>25</v>
      </c>
      <c r="O31" s="8">
        <v>51</v>
      </c>
      <c r="P31" s="47"/>
      <c r="Q31" s="47"/>
      <c r="R31" s="256"/>
      <c r="T31" s="204"/>
      <c r="U31" s="370">
        <f t="shared" si="6"/>
        <v>1.8128865626710455</v>
      </c>
      <c r="V31" s="371"/>
      <c r="W31" s="68">
        <v>1.1</v>
      </c>
      <c r="X31" s="370">
        <f t="shared" si="2"/>
        <v>6.072263541666667</v>
      </c>
      <c r="Y31" s="68"/>
      <c r="Z31" s="372"/>
      <c r="AA31" s="197"/>
      <c r="AB31" s="204"/>
      <c r="AC31" s="205">
        <f t="shared" si="15"/>
        <v>323.025</v>
      </c>
      <c r="AD31" s="205">
        <f t="shared" si="15"/>
        <v>56.418749999999996</v>
      </c>
      <c r="AE31" s="205">
        <f t="shared" si="7"/>
        <v>82.80359374999999</v>
      </c>
      <c r="AF31" s="205">
        <f t="shared" si="7"/>
        <v>513.38228125</v>
      </c>
      <c r="AG31" s="205">
        <f t="shared" si="7"/>
        <v>356.055453125</v>
      </c>
      <c r="AH31" s="206">
        <f t="shared" si="8"/>
        <v>1331.685078125</v>
      </c>
      <c r="AI31" s="206">
        <f t="shared" si="9"/>
        <v>5520.239583333333</v>
      </c>
      <c r="AJ31" s="207">
        <f t="shared" si="10"/>
        <v>6851.9246614583335</v>
      </c>
      <c r="AK31" s="208"/>
      <c r="AL31" s="221">
        <f t="shared" si="11"/>
        <v>2997.5783333333334</v>
      </c>
      <c r="AM31" s="222">
        <f t="shared" si="12"/>
        <v>3854.346328125</v>
      </c>
      <c r="AN31" s="208"/>
      <c r="AO31" s="227">
        <f t="shared" si="16"/>
        <v>323.025</v>
      </c>
      <c r="AP31" s="227">
        <f t="shared" si="16"/>
        <v>56.418749999999996</v>
      </c>
      <c r="AQ31" s="205">
        <f t="shared" si="13"/>
        <v>82.80359374999999</v>
      </c>
      <c r="AR31" s="205">
        <f t="shared" si="13"/>
        <v>513.38228125</v>
      </c>
      <c r="AS31" s="205">
        <f t="shared" si="13"/>
        <v>99.91633645833333</v>
      </c>
      <c r="AT31" s="231">
        <f t="shared" si="14"/>
        <v>1075.5459614583333</v>
      </c>
    </row>
    <row r="32" spans="1:46" ht="11.25" customHeight="1">
      <c r="A32" s="8">
        <v>26</v>
      </c>
      <c r="B32" s="8">
        <v>52</v>
      </c>
      <c r="C32" s="8"/>
      <c r="D32" s="16">
        <v>8</v>
      </c>
      <c r="E32" s="17">
        <f>VLOOKUP(D32,'A13 - Tabelle'!$A$6:$F$13,6)</f>
        <v>60640.31999999999</v>
      </c>
      <c r="F32" s="17">
        <f>VLOOKUP(D32,'A13 - Tabelle'!$A$6:$G$13,7)</f>
        <v>44013.52</v>
      </c>
      <c r="G32" s="18">
        <f t="shared" si="0"/>
        <v>41493.52</v>
      </c>
      <c r="H32" s="19"/>
      <c r="I32" s="16">
        <v>5</v>
      </c>
      <c r="J32" s="17">
        <f>VLOOKUP(I32,'E13 - Tabelle'!$A$7:$L$19,11)</f>
        <v>66242.875</v>
      </c>
      <c r="K32" s="20">
        <f>VLOOKUP(I32,'E13 - Tabelle'!$A$7:$L$19,12)</f>
        <v>35970.94</v>
      </c>
      <c r="L32" s="28">
        <f t="shared" si="1"/>
        <v>-5522.5799999999945</v>
      </c>
      <c r="M32" s="32">
        <f t="shared" si="5"/>
        <v>-70735.20999999993</v>
      </c>
      <c r="N32" s="8">
        <v>26</v>
      </c>
      <c r="O32" s="8">
        <v>52</v>
      </c>
      <c r="P32" s="47"/>
      <c r="Q32" s="47"/>
      <c r="R32" s="256"/>
      <c r="T32" s="204"/>
      <c r="U32" s="370">
        <f t="shared" si="6"/>
        <v>1.8128865626710455</v>
      </c>
      <c r="V32" s="371"/>
      <c r="W32" s="68">
        <v>1.1</v>
      </c>
      <c r="X32" s="370">
        <f t="shared" si="2"/>
        <v>6.072263541666667</v>
      </c>
      <c r="Y32" s="68"/>
      <c r="Z32" s="372"/>
      <c r="AA32" s="197"/>
      <c r="AB32" s="204"/>
      <c r="AC32" s="205">
        <f t="shared" si="15"/>
        <v>323.025</v>
      </c>
      <c r="AD32" s="205">
        <f t="shared" si="15"/>
        <v>56.418749999999996</v>
      </c>
      <c r="AE32" s="205">
        <f t="shared" si="7"/>
        <v>82.80359374999999</v>
      </c>
      <c r="AF32" s="205">
        <f t="shared" si="7"/>
        <v>513.38228125</v>
      </c>
      <c r="AG32" s="205">
        <f t="shared" si="7"/>
        <v>356.055453125</v>
      </c>
      <c r="AH32" s="206">
        <f t="shared" si="8"/>
        <v>1331.685078125</v>
      </c>
      <c r="AI32" s="206">
        <f t="shared" si="9"/>
        <v>5520.239583333333</v>
      </c>
      <c r="AJ32" s="207">
        <f t="shared" si="10"/>
        <v>6851.9246614583335</v>
      </c>
      <c r="AK32" s="208"/>
      <c r="AL32" s="221">
        <f t="shared" si="11"/>
        <v>2997.5783333333334</v>
      </c>
      <c r="AM32" s="222">
        <f t="shared" si="12"/>
        <v>3854.346328125</v>
      </c>
      <c r="AN32" s="208"/>
      <c r="AO32" s="227">
        <f t="shared" si="16"/>
        <v>323.025</v>
      </c>
      <c r="AP32" s="227">
        <f t="shared" si="16"/>
        <v>56.418749999999996</v>
      </c>
      <c r="AQ32" s="205">
        <f t="shared" si="13"/>
        <v>82.80359374999999</v>
      </c>
      <c r="AR32" s="205">
        <f t="shared" si="13"/>
        <v>513.38228125</v>
      </c>
      <c r="AS32" s="205">
        <f t="shared" si="13"/>
        <v>99.91633645833333</v>
      </c>
      <c r="AT32" s="231">
        <f t="shared" si="14"/>
        <v>1075.5459614583333</v>
      </c>
    </row>
    <row r="33" spans="1:46" ht="11.25" customHeight="1">
      <c r="A33" s="8">
        <v>27</v>
      </c>
      <c r="B33" s="8">
        <v>53</v>
      </c>
      <c r="C33" s="8"/>
      <c r="D33" s="16">
        <v>8</v>
      </c>
      <c r="E33" s="17">
        <f>VLOOKUP(D33,'A13 - Tabelle'!$A$6:$F$13,6)</f>
        <v>60640.31999999999</v>
      </c>
      <c r="F33" s="17">
        <f>VLOOKUP(D33,'A13 - Tabelle'!$A$6:$G$13,7)</f>
        <v>44013.52</v>
      </c>
      <c r="G33" s="18">
        <f t="shared" si="0"/>
        <v>41493.52</v>
      </c>
      <c r="H33" s="19"/>
      <c r="I33" s="16">
        <v>5</v>
      </c>
      <c r="J33" s="17">
        <f>VLOOKUP(I33,'E13 - Tabelle'!$A$7:$L$19,11)</f>
        <v>66242.875</v>
      </c>
      <c r="K33" s="20">
        <f>VLOOKUP(I33,'E13 - Tabelle'!$A$7:$L$19,12)</f>
        <v>35970.94</v>
      </c>
      <c r="L33" s="28">
        <f t="shared" si="1"/>
        <v>-5522.5799999999945</v>
      </c>
      <c r="M33" s="32">
        <f t="shared" si="5"/>
        <v>-76257.78999999992</v>
      </c>
      <c r="N33" s="8">
        <v>27</v>
      </c>
      <c r="O33" s="8">
        <v>53</v>
      </c>
      <c r="P33" s="47"/>
      <c r="Q33" s="47"/>
      <c r="R33" s="256"/>
      <c r="T33" s="204"/>
      <c r="U33" s="370">
        <f t="shared" si="6"/>
        <v>1.8128865626710455</v>
      </c>
      <c r="V33" s="371"/>
      <c r="W33" s="68">
        <v>1</v>
      </c>
      <c r="X33" s="370">
        <f t="shared" si="2"/>
        <v>5.520239583333333</v>
      </c>
      <c r="Y33" s="68"/>
      <c r="Z33" s="372"/>
      <c r="AA33" s="197"/>
      <c r="AB33" s="204"/>
      <c r="AC33" s="205">
        <f t="shared" si="15"/>
        <v>323.025</v>
      </c>
      <c r="AD33" s="205">
        <f t="shared" si="15"/>
        <v>56.418749999999996</v>
      </c>
      <c r="AE33" s="205">
        <f t="shared" si="7"/>
        <v>82.80359374999999</v>
      </c>
      <c r="AF33" s="205">
        <f t="shared" si="7"/>
        <v>513.38228125</v>
      </c>
      <c r="AG33" s="205">
        <f t="shared" si="7"/>
        <v>356.055453125</v>
      </c>
      <c r="AH33" s="206">
        <f t="shared" si="8"/>
        <v>1331.685078125</v>
      </c>
      <c r="AI33" s="206">
        <f t="shared" si="9"/>
        <v>5520.239583333333</v>
      </c>
      <c r="AJ33" s="207">
        <f t="shared" si="10"/>
        <v>6851.9246614583335</v>
      </c>
      <c r="AK33" s="208"/>
      <c r="AL33" s="221">
        <f t="shared" si="11"/>
        <v>2997.5783333333334</v>
      </c>
      <c r="AM33" s="222">
        <f t="shared" si="12"/>
        <v>3854.346328125</v>
      </c>
      <c r="AN33" s="208"/>
      <c r="AO33" s="227">
        <f t="shared" si="16"/>
        <v>323.025</v>
      </c>
      <c r="AP33" s="227">
        <f t="shared" si="16"/>
        <v>56.418749999999996</v>
      </c>
      <c r="AQ33" s="205">
        <f t="shared" si="13"/>
        <v>82.80359374999999</v>
      </c>
      <c r="AR33" s="205">
        <f t="shared" si="13"/>
        <v>513.38228125</v>
      </c>
      <c r="AS33" s="205">
        <f t="shared" si="13"/>
        <v>99.91633645833333</v>
      </c>
      <c r="AT33" s="231">
        <f t="shared" si="14"/>
        <v>1075.5459614583333</v>
      </c>
    </row>
    <row r="34" spans="1:46" ht="11.25" customHeight="1">
      <c r="A34" s="8">
        <v>28</v>
      </c>
      <c r="B34" s="8">
        <v>54</v>
      </c>
      <c r="C34" s="8"/>
      <c r="D34" s="16">
        <v>8</v>
      </c>
      <c r="E34" s="17">
        <f>VLOOKUP(D34,'A13 - Tabelle'!$A$6:$F$13,6)</f>
        <v>60640.31999999999</v>
      </c>
      <c r="F34" s="17">
        <f>VLOOKUP(D34,'A13 - Tabelle'!$A$6:$G$13,7)</f>
        <v>44013.52</v>
      </c>
      <c r="G34" s="18">
        <f t="shared" si="0"/>
        <v>41493.52</v>
      </c>
      <c r="H34" s="19"/>
      <c r="I34" s="16">
        <v>5</v>
      </c>
      <c r="J34" s="17">
        <f>VLOOKUP(I34,'E13 - Tabelle'!$A$7:$L$19,11)</f>
        <v>66242.875</v>
      </c>
      <c r="K34" s="20">
        <f>VLOOKUP(I34,'E13 - Tabelle'!$A$7:$L$19,12)</f>
        <v>35970.94</v>
      </c>
      <c r="L34" s="28">
        <f t="shared" si="1"/>
        <v>-5522.5799999999945</v>
      </c>
      <c r="M34" s="32">
        <f t="shared" si="5"/>
        <v>-81780.36999999991</v>
      </c>
      <c r="N34" s="8">
        <v>28</v>
      </c>
      <c r="O34" s="8">
        <v>54</v>
      </c>
      <c r="P34" s="47"/>
      <c r="Q34" s="47"/>
      <c r="R34" s="256"/>
      <c r="T34" s="204"/>
      <c r="U34" s="370">
        <f t="shared" si="6"/>
        <v>1.8128865626710455</v>
      </c>
      <c r="V34" s="371"/>
      <c r="W34" s="68">
        <v>1</v>
      </c>
      <c r="X34" s="370">
        <f t="shared" si="2"/>
        <v>5.520239583333333</v>
      </c>
      <c r="Y34" s="68"/>
      <c r="Z34" s="372"/>
      <c r="AA34" s="197"/>
      <c r="AB34" s="204"/>
      <c r="AC34" s="205">
        <f t="shared" si="15"/>
        <v>323.025</v>
      </c>
      <c r="AD34" s="205">
        <f t="shared" si="15"/>
        <v>56.418749999999996</v>
      </c>
      <c r="AE34" s="205">
        <f t="shared" si="7"/>
        <v>82.80359374999999</v>
      </c>
      <c r="AF34" s="205">
        <f t="shared" si="7"/>
        <v>513.38228125</v>
      </c>
      <c r="AG34" s="205">
        <f t="shared" si="7"/>
        <v>356.055453125</v>
      </c>
      <c r="AH34" s="206">
        <f t="shared" si="8"/>
        <v>1331.685078125</v>
      </c>
      <c r="AI34" s="206">
        <f t="shared" si="9"/>
        <v>5520.239583333333</v>
      </c>
      <c r="AJ34" s="207">
        <f t="shared" si="10"/>
        <v>6851.9246614583335</v>
      </c>
      <c r="AK34" s="208"/>
      <c r="AL34" s="221">
        <f t="shared" si="11"/>
        <v>2997.5783333333334</v>
      </c>
      <c r="AM34" s="222">
        <f t="shared" si="12"/>
        <v>3854.346328125</v>
      </c>
      <c r="AN34" s="208"/>
      <c r="AO34" s="227">
        <f t="shared" si="16"/>
        <v>323.025</v>
      </c>
      <c r="AP34" s="227">
        <f t="shared" si="16"/>
        <v>56.418749999999996</v>
      </c>
      <c r="AQ34" s="205">
        <f t="shared" si="13"/>
        <v>82.80359374999999</v>
      </c>
      <c r="AR34" s="205">
        <f t="shared" si="13"/>
        <v>513.38228125</v>
      </c>
      <c r="AS34" s="205">
        <f t="shared" si="13"/>
        <v>99.91633645833333</v>
      </c>
      <c r="AT34" s="231">
        <f t="shared" si="14"/>
        <v>1075.5459614583333</v>
      </c>
    </row>
    <row r="35" spans="1:46" ht="11.25" customHeight="1">
      <c r="A35" s="8">
        <v>29</v>
      </c>
      <c r="B35" s="8">
        <v>55</v>
      </c>
      <c r="C35" s="8"/>
      <c r="D35" s="16">
        <v>8</v>
      </c>
      <c r="E35" s="17">
        <f>VLOOKUP(D35,'A13 - Tabelle'!$A$6:$F$13,6)</f>
        <v>60640.31999999999</v>
      </c>
      <c r="F35" s="17">
        <f>VLOOKUP(D35,'A13 - Tabelle'!$A$6:$G$13,7)</f>
        <v>44013.52</v>
      </c>
      <c r="G35" s="18">
        <f t="shared" si="0"/>
        <v>41493.52</v>
      </c>
      <c r="H35" s="19"/>
      <c r="I35" s="16">
        <v>5</v>
      </c>
      <c r="J35" s="17">
        <f>VLOOKUP(I35,'E13 - Tabelle'!$A$7:$L$19,11)</f>
        <v>66242.875</v>
      </c>
      <c r="K35" s="20">
        <f>VLOOKUP(I35,'E13 - Tabelle'!$A$7:$L$19,12)</f>
        <v>35970.94</v>
      </c>
      <c r="L35" s="28">
        <f t="shared" si="1"/>
        <v>-5522.5799999999945</v>
      </c>
      <c r="M35" s="32">
        <f t="shared" si="5"/>
        <v>-87302.9499999999</v>
      </c>
      <c r="N35" s="8">
        <v>29</v>
      </c>
      <c r="O35" s="8">
        <v>55</v>
      </c>
      <c r="P35" s="47"/>
      <c r="Q35" s="47"/>
      <c r="R35" s="256"/>
      <c r="T35" s="204"/>
      <c r="U35" s="370">
        <f t="shared" si="6"/>
        <v>1.8128865626710455</v>
      </c>
      <c r="V35" s="371"/>
      <c r="W35" s="68">
        <v>1</v>
      </c>
      <c r="X35" s="370">
        <f t="shared" si="2"/>
        <v>5.520239583333333</v>
      </c>
      <c r="Y35" s="68"/>
      <c r="Z35" s="372"/>
      <c r="AA35" s="197"/>
      <c r="AB35" s="204"/>
      <c r="AC35" s="205">
        <f t="shared" si="15"/>
        <v>323.025</v>
      </c>
      <c r="AD35" s="205">
        <f t="shared" si="15"/>
        <v>56.418749999999996</v>
      </c>
      <c r="AE35" s="205">
        <f t="shared" si="7"/>
        <v>82.80359374999999</v>
      </c>
      <c r="AF35" s="205">
        <f t="shared" si="7"/>
        <v>513.38228125</v>
      </c>
      <c r="AG35" s="205">
        <f t="shared" si="7"/>
        <v>356.055453125</v>
      </c>
      <c r="AH35" s="206">
        <f t="shared" si="8"/>
        <v>1331.685078125</v>
      </c>
      <c r="AI35" s="206">
        <f t="shared" si="9"/>
        <v>5520.239583333333</v>
      </c>
      <c r="AJ35" s="207">
        <f t="shared" si="10"/>
        <v>6851.9246614583335</v>
      </c>
      <c r="AK35" s="208"/>
      <c r="AL35" s="221">
        <f t="shared" si="11"/>
        <v>2997.5783333333334</v>
      </c>
      <c r="AM35" s="222">
        <f t="shared" si="12"/>
        <v>3854.346328125</v>
      </c>
      <c r="AN35" s="208"/>
      <c r="AO35" s="227">
        <f t="shared" si="16"/>
        <v>323.025</v>
      </c>
      <c r="AP35" s="227">
        <f t="shared" si="16"/>
        <v>56.418749999999996</v>
      </c>
      <c r="AQ35" s="205">
        <f t="shared" si="13"/>
        <v>82.80359374999999</v>
      </c>
      <c r="AR35" s="205">
        <f t="shared" si="13"/>
        <v>513.38228125</v>
      </c>
      <c r="AS35" s="205">
        <f t="shared" si="13"/>
        <v>99.91633645833333</v>
      </c>
      <c r="AT35" s="231">
        <f t="shared" si="14"/>
        <v>1075.5459614583333</v>
      </c>
    </row>
    <row r="36" spans="1:46" ht="11.25" customHeight="1">
      <c r="A36" s="8">
        <v>30</v>
      </c>
      <c r="B36" s="8">
        <v>56</v>
      </c>
      <c r="C36" s="8"/>
      <c r="D36" s="16">
        <v>8</v>
      </c>
      <c r="E36" s="17">
        <f>VLOOKUP(D36,'A13 - Tabelle'!$A$6:$F$13,6)</f>
        <v>60640.31999999999</v>
      </c>
      <c r="F36" s="17">
        <f>VLOOKUP(D36,'A13 - Tabelle'!$A$6:$G$13,7)</f>
        <v>44013.52</v>
      </c>
      <c r="G36" s="18">
        <f t="shared" si="0"/>
        <v>41493.52</v>
      </c>
      <c r="H36" s="19"/>
      <c r="I36" s="16">
        <v>5</v>
      </c>
      <c r="J36" s="17">
        <f>VLOOKUP(I36,'E13 - Tabelle'!$A$7:$L$19,11)</f>
        <v>66242.875</v>
      </c>
      <c r="K36" s="20">
        <f>VLOOKUP(I36,'E13 - Tabelle'!$A$7:$L$19,12)</f>
        <v>35970.94</v>
      </c>
      <c r="L36" s="28">
        <f t="shared" si="1"/>
        <v>-5522.5799999999945</v>
      </c>
      <c r="M36" s="32">
        <f t="shared" si="5"/>
        <v>-92825.52999999988</v>
      </c>
      <c r="N36" s="8">
        <v>30</v>
      </c>
      <c r="O36" s="8">
        <v>56</v>
      </c>
      <c r="P36" s="47"/>
      <c r="Q36" s="47"/>
      <c r="R36" s="256"/>
      <c r="T36" s="204"/>
      <c r="U36" s="370">
        <f t="shared" si="6"/>
        <v>1.8128865626710455</v>
      </c>
      <c r="V36" s="371"/>
      <c r="W36" s="68">
        <v>1</v>
      </c>
      <c r="X36" s="370">
        <f t="shared" si="2"/>
        <v>5.520239583333333</v>
      </c>
      <c r="Y36" s="68"/>
      <c r="Z36" s="372"/>
      <c r="AA36" s="197"/>
      <c r="AB36" s="204"/>
      <c r="AC36" s="205">
        <f t="shared" si="15"/>
        <v>323.025</v>
      </c>
      <c r="AD36" s="205">
        <f t="shared" si="15"/>
        <v>56.418749999999996</v>
      </c>
      <c r="AE36" s="205">
        <f t="shared" si="7"/>
        <v>82.80359374999999</v>
      </c>
      <c r="AF36" s="205">
        <f t="shared" si="7"/>
        <v>513.38228125</v>
      </c>
      <c r="AG36" s="205">
        <f t="shared" si="7"/>
        <v>356.055453125</v>
      </c>
      <c r="AH36" s="206">
        <f t="shared" si="8"/>
        <v>1331.685078125</v>
      </c>
      <c r="AI36" s="206">
        <f t="shared" si="9"/>
        <v>5520.239583333333</v>
      </c>
      <c r="AJ36" s="207">
        <f t="shared" si="10"/>
        <v>6851.9246614583335</v>
      </c>
      <c r="AK36" s="208"/>
      <c r="AL36" s="221">
        <f t="shared" si="11"/>
        <v>2997.5783333333334</v>
      </c>
      <c r="AM36" s="222">
        <f t="shared" si="12"/>
        <v>3854.346328125</v>
      </c>
      <c r="AN36" s="208"/>
      <c r="AO36" s="227">
        <f t="shared" si="16"/>
        <v>323.025</v>
      </c>
      <c r="AP36" s="227">
        <f t="shared" si="16"/>
        <v>56.418749999999996</v>
      </c>
      <c r="AQ36" s="205">
        <f t="shared" si="13"/>
        <v>82.80359374999999</v>
      </c>
      <c r="AR36" s="205">
        <f t="shared" si="13"/>
        <v>513.38228125</v>
      </c>
      <c r="AS36" s="205">
        <f t="shared" si="13"/>
        <v>99.91633645833333</v>
      </c>
      <c r="AT36" s="231">
        <f t="shared" si="14"/>
        <v>1075.5459614583333</v>
      </c>
    </row>
    <row r="37" spans="1:46" ht="11.25" customHeight="1">
      <c r="A37" s="8">
        <v>31</v>
      </c>
      <c r="B37" s="8">
        <v>57</v>
      </c>
      <c r="C37" s="8"/>
      <c r="D37" s="16">
        <v>8</v>
      </c>
      <c r="E37" s="17">
        <f>VLOOKUP(D37,'A13 - Tabelle'!$A$6:$F$13,6)</f>
        <v>60640.31999999999</v>
      </c>
      <c r="F37" s="17">
        <f>VLOOKUP(D37,'A13 - Tabelle'!$A$6:$G$13,7)</f>
        <v>44013.52</v>
      </c>
      <c r="G37" s="18">
        <f t="shared" si="0"/>
        <v>41493.52</v>
      </c>
      <c r="H37" s="19"/>
      <c r="I37" s="16">
        <v>5</v>
      </c>
      <c r="J37" s="17">
        <f>VLOOKUP(I37,'E13 - Tabelle'!$A$7:$L$19,11)</f>
        <v>66242.875</v>
      </c>
      <c r="K37" s="20">
        <f>VLOOKUP(I37,'E13 - Tabelle'!$A$7:$L$19,12)</f>
        <v>35970.94</v>
      </c>
      <c r="L37" s="28">
        <f t="shared" si="1"/>
        <v>-5522.5799999999945</v>
      </c>
      <c r="M37" s="32">
        <f t="shared" si="5"/>
        <v>-98348.10999999987</v>
      </c>
      <c r="N37" s="8">
        <v>31</v>
      </c>
      <c r="O37" s="8">
        <v>57</v>
      </c>
      <c r="P37" s="47"/>
      <c r="Q37" s="47"/>
      <c r="R37" s="256"/>
      <c r="T37" s="204"/>
      <c r="U37" s="370">
        <f t="shared" si="6"/>
        <v>1.8128865626710455</v>
      </c>
      <c r="V37" s="371"/>
      <c r="W37" s="68">
        <v>0.9</v>
      </c>
      <c r="X37" s="370">
        <f t="shared" si="2"/>
        <v>4.968215625</v>
      </c>
      <c r="Y37" s="68"/>
      <c r="Z37" s="372"/>
      <c r="AA37" s="197"/>
      <c r="AB37" s="204"/>
      <c r="AC37" s="205">
        <f t="shared" si="15"/>
        <v>323.025</v>
      </c>
      <c r="AD37" s="205">
        <f t="shared" si="15"/>
        <v>56.418749999999996</v>
      </c>
      <c r="AE37" s="205">
        <f t="shared" si="7"/>
        <v>82.80359374999999</v>
      </c>
      <c r="AF37" s="205">
        <f t="shared" si="7"/>
        <v>513.38228125</v>
      </c>
      <c r="AG37" s="205">
        <f t="shared" si="7"/>
        <v>356.055453125</v>
      </c>
      <c r="AH37" s="206">
        <f t="shared" si="8"/>
        <v>1331.685078125</v>
      </c>
      <c r="AI37" s="206">
        <f t="shared" si="9"/>
        <v>5520.239583333333</v>
      </c>
      <c r="AJ37" s="207">
        <f t="shared" si="10"/>
        <v>6851.9246614583335</v>
      </c>
      <c r="AK37" s="208"/>
      <c r="AL37" s="221">
        <f t="shared" si="11"/>
        <v>2997.5783333333334</v>
      </c>
      <c r="AM37" s="222">
        <f t="shared" si="12"/>
        <v>3854.346328125</v>
      </c>
      <c r="AN37" s="208"/>
      <c r="AO37" s="227">
        <f t="shared" si="16"/>
        <v>323.025</v>
      </c>
      <c r="AP37" s="227">
        <f t="shared" si="16"/>
        <v>56.418749999999996</v>
      </c>
      <c r="AQ37" s="205">
        <f t="shared" si="13"/>
        <v>82.80359374999999</v>
      </c>
      <c r="AR37" s="205">
        <f t="shared" si="13"/>
        <v>513.38228125</v>
      </c>
      <c r="AS37" s="205">
        <f t="shared" si="13"/>
        <v>99.91633645833333</v>
      </c>
      <c r="AT37" s="231">
        <f t="shared" si="14"/>
        <v>1075.5459614583333</v>
      </c>
    </row>
    <row r="38" spans="1:46" ht="11.25" customHeight="1">
      <c r="A38" s="8">
        <v>32</v>
      </c>
      <c r="B38" s="8">
        <v>58</v>
      </c>
      <c r="C38" s="8"/>
      <c r="D38" s="16">
        <v>8</v>
      </c>
      <c r="E38" s="17">
        <f>VLOOKUP(D38,'A13 - Tabelle'!$A$6:$F$13,6)</f>
        <v>60640.31999999999</v>
      </c>
      <c r="F38" s="17">
        <f>VLOOKUP(D38,'A13 - Tabelle'!$A$6:$G$13,7)</f>
        <v>44013.52</v>
      </c>
      <c r="G38" s="18">
        <f t="shared" si="0"/>
        <v>41493.52</v>
      </c>
      <c r="H38" s="19"/>
      <c r="I38" s="16">
        <v>5</v>
      </c>
      <c r="J38" s="17">
        <f>VLOOKUP(I38,'E13 - Tabelle'!$A$7:$L$19,11)</f>
        <v>66242.875</v>
      </c>
      <c r="K38" s="20">
        <f>VLOOKUP(I38,'E13 - Tabelle'!$A$7:$L$19,12)</f>
        <v>35970.94</v>
      </c>
      <c r="L38" s="28">
        <f t="shared" si="1"/>
        <v>-5522.5799999999945</v>
      </c>
      <c r="M38" s="32">
        <f t="shared" si="5"/>
        <v>-103870.68999999986</v>
      </c>
      <c r="N38" s="8">
        <v>32</v>
      </c>
      <c r="O38" s="8">
        <v>58</v>
      </c>
      <c r="P38" s="47"/>
      <c r="Q38" s="47"/>
      <c r="R38" s="256"/>
      <c r="T38" s="204"/>
      <c r="U38" s="370">
        <f t="shared" si="6"/>
        <v>1.8128865626710455</v>
      </c>
      <c r="V38" s="371"/>
      <c r="W38" s="68">
        <v>0.9</v>
      </c>
      <c r="X38" s="370">
        <f t="shared" si="2"/>
        <v>4.968215625</v>
      </c>
      <c r="Y38" s="68"/>
      <c r="Z38" s="372"/>
      <c r="AA38" s="197"/>
      <c r="AB38" s="204"/>
      <c r="AC38" s="205">
        <f t="shared" si="15"/>
        <v>323.025</v>
      </c>
      <c r="AD38" s="205">
        <f t="shared" si="15"/>
        <v>56.418749999999996</v>
      </c>
      <c r="AE38" s="205">
        <f t="shared" si="7"/>
        <v>82.80359374999999</v>
      </c>
      <c r="AF38" s="205">
        <f t="shared" si="7"/>
        <v>513.38228125</v>
      </c>
      <c r="AG38" s="205">
        <f t="shared" si="7"/>
        <v>356.055453125</v>
      </c>
      <c r="AH38" s="206">
        <f t="shared" si="8"/>
        <v>1331.685078125</v>
      </c>
      <c r="AI38" s="206">
        <f t="shared" si="9"/>
        <v>5520.239583333333</v>
      </c>
      <c r="AJ38" s="207">
        <f t="shared" si="10"/>
        <v>6851.9246614583335</v>
      </c>
      <c r="AK38" s="208"/>
      <c r="AL38" s="221">
        <f t="shared" si="11"/>
        <v>2997.5783333333334</v>
      </c>
      <c r="AM38" s="222">
        <f t="shared" si="12"/>
        <v>3854.346328125</v>
      </c>
      <c r="AN38" s="208"/>
      <c r="AO38" s="227">
        <f t="shared" si="16"/>
        <v>323.025</v>
      </c>
      <c r="AP38" s="227">
        <f t="shared" si="16"/>
        <v>56.418749999999996</v>
      </c>
      <c r="AQ38" s="205">
        <f t="shared" si="13"/>
        <v>82.80359374999999</v>
      </c>
      <c r="AR38" s="205">
        <f t="shared" si="13"/>
        <v>513.38228125</v>
      </c>
      <c r="AS38" s="205">
        <f t="shared" si="13"/>
        <v>99.91633645833333</v>
      </c>
      <c r="AT38" s="231">
        <f t="shared" si="14"/>
        <v>1075.5459614583333</v>
      </c>
    </row>
    <row r="39" spans="1:46" ht="11.25" customHeight="1">
      <c r="A39" s="8">
        <v>33</v>
      </c>
      <c r="B39" s="8">
        <v>59</v>
      </c>
      <c r="C39" s="8"/>
      <c r="D39" s="16">
        <v>8</v>
      </c>
      <c r="E39" s="17">
        <f>VLOOKUP(D39,'A13 - Tabelle'!$A$6:$F$13,6)</f>
        <v>60640.31999999999</v>
      </c>
      <c r="F39" s="17">
        <f>VLOOKUP(D39,'A13 - Tabelle'!$A$6:$G$13,7)</f>
        <v>44013.52</v>
      </c>
      <c r="G39" s="18">
        <f t="shared" si="0"/>
        <v>41493.52</v>
      </c>
      <c r="H39" s="19"/>
      <c r="I39" s="16">
        <v>5</v>
      </c>
      <c r="J39" s="17">
        <f>VLOOKUP(I39,'E13 - Tabelle'!$A$7:$L$19,11)</f>
        <v>66242.875</v>
      </c>
      <c r="K39" s="20">
        <f>VLOOKUP(I39,'E13 - Tabelle'!$A$7:$L$19,12)</f>
        <v>35970.94</v>
      </c>
      <c r="L39" s="28">
        <f t="shared" si="1"/>
        <v>-5522.5799999999945</v>
      </c>
      <c r="M39" s="32">
        <f t="shared" si="5"/>
        <v>-109393.26999999984</v>
      </c>
      <c r="N39" s="8">
        <v>33</v>
      </c>
      <c r="O39" s="8">
        <v>59</v>
      </c>
      <c r="P39" s="47"/>
      <c r="Q39" s="47"/>
      <c r="R39" s="256"/>
      <c r="T39" s="204"/>
      <c r="U39" s="370">
        <f t="shared" si="6"/>
        <v>1.8128865626710455</v>
      </c>
      <c r="V39" s="371"/>
      <c r="W39" s="68">
        <v>0.9</v>
      </c>
      <c r="X39" s="370">
        <f t="shared" si="2"/>
        <v>4.968215625</v>
      </c>
      <c r="Y39" s="68"/>
      <c r="Z39" s="372"/>
      <c r="AA39" s="197"/>
      <c r="AB39" s="204"/>
      <c r="AC39" s="205">
        <f t="shared" si="15"/>
        <v>323.025</v>
      </c>
      <c r="AD39" s="205">
        <f t="shared" si="15"/>
        <v>56.418749999999996</v>
      </c>
      <c r="AE39" s="205">
        <f t="shared" si="7"/>
        <v>82.80359374999999</v>
      </c>
      <c r="AF39" s="205">
        <f t="shared" si="7"/>
        <v>513.38228125</v>
      </c>
      <c r="AG39" s="205">
        <f t="shared" si="7"/>
        <v>356.055453125</v>
      </c>
      <c r="AH39" s="206">
        <f t="shared" si="8"/>
        <v>1331.685078125</v>
      </c>
      <c r="AI39" s="206">
        <f t="shared" si="9"/>
        <v>5520.239583333333</v>
      </c>
      <c r="AJ39" s="207">
        <f t="shared" si="10"/>
        <v>6851.9246614583335</v>
      </c>
      <c r="AK39" s="208"/>
      <c r="AL39" s="221">
        <f t="shared" si="11"/>
        <v>2997.5783333333334</v>
      </c>
      <c r="AM39" s="222">
        <f t="shared" si="12"/>
        <v>3854.346328125</v>
      </c>
      <c r="AN39" s="208"/>
      <c r="AO39" s="227">
        <f t="shared" si="16"/>
        <v>323.025</v>
      </c>
      <c r="AP39" s="227">
        <f t="shared" si="16"/>
        <v>56.418749999999996</v>
      </c>
      <c r="AQ39" s="205">
        <f t="shared" si="13"/>
        <v>82.80359374999999</v>
      </c>
      <c r="AR39" s="205">
        <f t="shared" si="13"/>
        <v>513.38228125</v>
      </c>
      <c r="AS39" s="205">
        <f t="shared" si="13"/>
        <v>99.91633645833333</v>
      </c>
      <c r="AT39" s="231">
        <f t="shared" si="14"/>
        <v>1075.5459614583333</v>
      </c>
    </row>
    <row r="40" spans="1:46" ht="11.25" customHeight="1">
      <c r="A40" s="8">
        <v>34</v>
      </c>
      <c r="B40" s="8">
        <v>60</v>
      </c>
      <c r="C40" s="8"/>
      <c r="D40" s="16">
        <v>8</v>
      </c>
      <c r="E40" s="17">
        <f>VLOOKUP(D40,'A13 - Tabelle'!$A$6:$F$13,6)</f>
        <v>60640.31999999999</v>
      </c>
      <c r="F40" s="17">
        <f>VLOOKUP(D40,'A13 - Tabelle'!$A$6:$G$13,7)</f>
        <v>44013.52</v>
      </c>
      <c r="G40" s="18">
        <f t="shared" si="0"/>
        <v>41493.52</v>
      </c>
      <c r="H40" s="19"/>
      <c r="I40" s="16">
        <v>5</v>
      </c>
      <c r="J40" s="17">
        <f>VLOOKUP(I40,'E13 - Tabelle'!$A$7:$L$19,11)</f>
        <v>66242.875</v>
      </c>
      <c r="K40" s="20">
        <f>VLOOKUP(I40,'E13 - Tabelle'!$A$7:$L$19,12)</f>
        <v>35970.94</v>
      </c>
      <c r="L40" s="28">
        <f t="shared" si="1"/>
        <v>-5522.5799999999945</v>
      </c>
      <c r="M40" s="32">
        <f t="shared" si="5"/>
        <v>-114915.84999999983</v>
      </c>
      <c r="N40" s="8">
        <v>34</v>
      </c>
      <c r="O40" s="8">
        <v>60</v>
      </c>
      <c r="P40" s="47"/>
      <c r="Q40" s="47"/>
      <c r="R40" s="256"/>
      <c r="T40" s="204"/>
      <c r="U40" s="370">
        <f t="shared" si="6"/>
        <v>1.8128865626710455</v>
      </c>
      <c r="V40" s="371"/>
      <c r="W40" s="68">
        <v>0.9</v>
      </c>
      <c r="X40" s="370">
        <f t="shared" si="2"/>
        <v>4.968215625</v>
      </c>
      <c r="Y40" s="68"/>
      <c r="Z40" s="372"/>
      <c r="AA40" s="197"/>
      <c r="AB40" s="204"/>
      <c r="AC40" s="205">
        <f t="shared" si="15"/>
        <v>323.025</v>
      </c>
      <c r="AD40" s="205">
        <f t="shared" si="15"/>
        <v>56.418749999999996</v>
      </c>
      <c r="AE40" s="205">
        <f t="shared" si="7"/>
        <v>82.80359374999999</v>
      </c>
      <c r="AF40" s="205">
        <f t="shared" si="7"/>
        <v>513.38228125</v>
      </c>
      <c r="AG40" s="205">
        <f t="shared" si="7"/>
        <v>356.055453125</v>
      </c>
      <c r="AH40" s="206">
        <f t="shared" si="8"/>
        <v>1331.685078125</v>
      </c>
      <c r="AI40" s="206">
        <f t="shared" si="9"/>
        <v>5520.239583333333</v>
      </c>
      <c r="AJ40" s="207">
        <f t="shared" si="10"/>
        <v>6851.9246614583335</v>
      </c>
      <c r="AK40" s="208"/>
      <c r="AL40" s="221">
        <f t="shared" si="11"/>
        <v>2997.5783333333334</v>
      </c>
      <c r="AM40" s="222">
        <f t="shared" si="12"/>
        <v>3854.346328125</v>
      </c>
      <c r="AN40" s="208"/>
      <c r="AO40" s="227">
        <f t="shared" si="16"/>
        <v>323.025</v>
      </c>
      <c r="AP40" s="227">
        <f t="shared" si="16"/>
        <v>56.418749999999996</v>
      </c>
      <c r="AQ40" s="205">
        <f t="shared" si="13"/>
        <v>82.80359374999999</v>
      </c>
      <c r="AR40" s="205">
        <f t="shared" si="13"/>
        <v>513.38228125</v>
      </c>
      <c r="AS40" s="205">
        <f t="shared" si="13"/>
        <v>99.91633645833333</v>
      </c>
      <c r="AT40" s="231">
        <f t="shared" si="14"/>
        <v>1075.5459614583333</v>
      </c>
    </row>
    <row r="41" spans="1:46" ht="11.25" customHeight="1">
      <c r="A41" s="8">
        <v>35</v>
      </c>
      <c r="B41" s="8">
        <v>61</v>
      </c>
      <c r="C41" s="8"/>
      <c r="D41" s="16">
        <v>8</v>
      </c>
      <c r="E41" s="17">
        <f>VLOOKUP(D41,'A13 - Tabelle'!$A$6:$F$13,6)</f>
        <v>60640.31999999999</v>
      </c>
      <c r="F41" s="17">
        <f>VLOOKUP(D41,'A13 - Tabelle'!$A$6:$G$13,7)</f>
        <v>44013.52</v>
      </c>
      <c r="G41" s="18">
        <f t="shared" si="0"/>
        <v>41493.52</v>
      </c>
      <c r="H41" s="19"/>
      <c r="I41" s="16">
        <v>5</v>
      </c>
      <c r="J41" s="17">
        <f>VLOOKUP(I41,'E13 - Tabelle'!$A$7:$L$19,11)</f>
        <v>66242.875</v>
      </c>
      <c r="K41" s="20">
        <f>VLOOKUP(I41,'E13 - Tabelle'!$A$7:$L$19,12)</f>
        <v>35970.94</v>
      </c>
      <c r="L41" s="28">
        <f t="shared" si="1"/>
        <v>-5522.5799999999945</v>
      </c>
      <c r="M41" s="32">
        <f t="shared" si="5"/>
        <v>-120438.42999999982</v>
      </c>
      <c r="N41" s="8">
        <v>35</v>
      </c>
      <c r="O41" s="8">
        <v>61</v>
      </c>
      <c r="P41" s="47"/>
      <c r="Q41" s="47"/>
      <c r="R41" s="256"/>
      <c r="T41" s="204"/>
      <c r="U41" s="370">
        <f t="shared" si="6"/>
        <v>1.8128865626710455</v>
      </c>
      <c r="V41" s="371"/>
      <c r="W41" s="68">
        <v>0.9</v>
      </c>
      <c r="X41" s="370">
        <f t="shared" si="2"/>
        <v>4.968215625</v>
      </c>
      <c r="Y41" s="68"/>
      <c r="Z41" s="372"/>
      <c r="AA41" s="197"/>
      <c r="AB41" s="204"/>
      <c r="AC41" s="205">
        <f t="shared" si="15"/>
        <v>323.025</v>
      </c>
      <c r="AD41" s="205">
        <f t="shared" si="15"/>
        <v>56.418749999999996</v>
      </c>
      <c r="AE41" s="205">
        <f t="shared" si="7"/>
        <v>82.80359374999999</v>
      </c>
      <c r="AF41" s="205">
        <f t="shared" si="7"/>
        <v>513.38228125</v>
      </c>
      <c r="AG41" s="205">
        <f t="shared" si="7"/>
        <v>356.055453125</v>
      </c>
      <c r="AH41" s="206">
        <f t="shared" si="8"/>
        <v>1331.685078125</v>
      </c>
      <c r="AI41" s="206">
        <f t="shared" si="9"/>
        <v>5520.239583333333</v>
      </c>
      <c r="AJ41" s="207">
        <f t="shared" si="10"/>
        <v>6851.9246614583335</v>
      </c>
      <c r="AK41" s="208"/>
      <c r="AL41" s="221">
        <f t="shared" si="11"/>
        <v>2997.5783333333334</v>
      </c>
      <c r="AM41" s="222">
        <f t="shared" si="12"/>
        <v>3854.346328125</v>
      </c>
      <c r="AN41" s="208"/>
      <c r="AO41" s="227">
        <f t="shared" si="16"/>
        <v>323.025</v>
      </c>
      <c r="AP41" s="227">
        <f t="shared" si="16"/>
        <v>56.418749999999996</v>
      </c>
      <c r="AQ41" s="205">
        <f t="shared" si="13"/>
        <v>82.80359374999999</v>
      </c>
      <c r="AR41" s="205">
        <f t="shared" si="13"/>
        <v>513.38228125</v>
      </c>
      <c r="AS41" s="205">
        <f t="shared" si="13"/>
        <v>99.91633645833333</v>
      </c>
      <c r="AT41" s="231">
        <f t="shared" si="14"/>
        <v>1075.5459614583333</v>
      </c>
    </row>
    <row r="42" spans="1:46" ht="11.25" customHeight="1">
      <c r="A42" s="8">
        <v>36</v>
      </c>
      <c r="B42" s="8">
        <v>62</v>
      </c>
      <c r="C42" s="8"/>
      <c r="D42" s="16">
        <v>8</v>
      </c>
      <c r="E42" s="17">
        <f>VLOOKUP(D42,'A13 - Tabelle'!$A$6:$F$13,6)</f>
        <v>60640.31999999999</v>
      </c>
      <c r="F42" s="17">
        <f>VLOOKUP(D42,'A13 - Tabelle'!$A$6:$G$13,7)</f>
        <v>44013.52</v>
      </c>
      <c r="G42" s="18">
        <f t="shared" si="0"/>
        <v>41493.52</v>
      </c>
      <c r="H42" s="19"/>
      <c r="I42" s="16">
        <v>5</v>
      </c>
      <c r="J42" s="17">
        <f>VLOOKUP(I42,'E13 - Tabelle'!$A$7:$L$19,11)</f>
        <v>66242.875</v>
      </c>
      <c r="K42" s="20">
        <f>VLOOKUP(I42,'E13 - Tabelle'!$A$7:$L$19,12)</f>
        <v>35970.94</v>
      </c>
      <c r="L42" s="28">
        <f t="shared" si="1"/>
        <v>-5522.5799999999945</v>
      </c>
      <c r="M42" s="32">
        <f t="shared" si="5"/>
        <v>-125961.0099999998</v>
      </c>
      <c r="N42" s="8">
        <v>36</v>
      </c>
      <c r="O42" s="8">
        <v>62</v>
      </c>
      <c r="P42" s="47"/>
      <c r="Q42" s="47"/>
      <c r="R42" s="256"/>
      <c r="T42" s="204"/>
      <c r="U42" s="370">
        <f t="shared" si="6"/>
        <v>1.8128865626710455</v>
      </c>
      <c r="V42" s="371"/>
      <c r="W42" s="68">
        <v>0.8</v>
      </c>
      <c r="X42" s="370">
        <f t="shared" si="2"/>
        <v>4.416191666666666</v>
      </c>
      <c r="Y42" s="68"/>
      <c r="Z42" s="372"/>
      <c r="AA42" s="197"/>
      <c r="AB42" s="204"/>
      <c r="AC42" s="205">
        <f t="shared" si="15"/>
        <v>323.025</v>
      </c>
      <c r="AD42" s="205">
        <f t="shared" si="15"/>
        <v>56.418749999999996</v>
      </c>
      <c r="AE42" s="205">
        <f t="shared" si="7"/>
        <v>82.80359374999999</v>
      </c>
      <c r="AF42" s="205">
        <f t="shared" si="7"/>
        <v>513.38228125</v>
      </c>
      <c r="AG42" s="205">
        <f t="shared" si="7"/>
        <v>356.055453125</v>
      </c>
      <c r="AH42" s="206">
        <f t="shared" si="8"/>
        <v>1331.685078125</v>
      </c>
      <c r="AI42" s="206">
        <f t="shared" si="9"/>
        <v>5520.239583333333</v>
      </c>
      <c r="AJ42" s="207">
        <f t="shared" si="10"/>
        <v>6851.9246614583335</v>
      </c>
      <c r="AK42" s="208"/>
      <c r="AL42" s="221">
        <f t="shared" si="11"/>
        <v>2997.5783333333334</v>
      </c>
      <c r="AM42" s="222">
        <f t="shared" si="12"/>
        <v>3854.346328125</v>
      </c>
      <c r="AN42" s="208"/>
      <c r="AO42" s="227">
        <f t="shared" si="16"/>
        <v>323.025</v>
      </c>
      <c r="AP42" s="227">
        <f t="shared" si="16"/>
        <v>56.418749999999996</v>
      </c>
      <c r="AQ42" s="205">
        <f t="shared" si="13"/>
        <v>82.80359374999999</v>
      </c>
      <c r="AR42" s="205">
        <f t="shared" si="13"/>
        <v>513.38228125</v>
      </c>
      <c r="AS42" s="205">
        <f t="shared" si="13"/>
        <v>99.91633645833333</v>
      </c>
      <c r="AT42" s="231">
        <f t="shared" si="14"/>
        <v>1075.5459614583333</v>
      </c>
    </row>
    <row r="43" spans="1:46" ht="11.25" customHeight="1">
      <c r="A43" s="8">
        <v>37</v>
      </c>
      <c r="B43" s="8">
        <v>63</v>
      </c>
      <c r="C43" s="8"/>
      <c r="D43" s="16">
        <v>8</v>
      </c>
      <c r="E43" s="17">
        <f>VLOOKUP(D43,'A13 - Tabelle'!$A$6:$F$13,6)</f>
        <v>60640.31999999999</v>
      </c>
      <c r="F43" s="17">
        <f>VLOOKUP(D43,'A13 - Tabelle'!$A$6:$G$13,7)</f>
        <v>44013.52</v>
      </c>
      <c r="G43" s="18">
        <f t="shared" si="0"/>
        <v>41493.52</v>
      </c>
      <c r="H43" s="19"/>
      <c r="I43" s="16">
        <v>5</v>
      </c>
      <c r="J43" s="17">
        <f>VLOOKUP(I43,'E13 - Tabelle'!$A$7:$L$19,11)</f>
        <v>66242.875</v>
      </c>
      <c r="K43" s="20">
        <f>VLOOKUP(I43,'E13 - Tabelle'!$A$7:$L$19,12)</f>
        <v>35970.94</v>
      </c>
      <c r="L43" s="28">
        <f t="shared" si="1"/>
        <v>-5522.5799999999945</v>
      </c>
      <c r="M43" s="32">
        <f t="shared" si="5"/>
        <v>-131483.5899999998</v>
      </c>
      <c r="N43" s="8">
        <v>37</v>
      </c>
      <c r="O43" s="8">
        <v>63</v>
      </c>
      <c r="P43" s="47"/>
      <c r="Q43" s="47"/>
      <c r="R43" s="256"/>
      <c r="T43" s="204"/>
      <c r="U43" s="370">
        <f t="shared" si="6"/>
        <v>1.8128865626710455</v>
      </c>
      <c r="V43" s="371"/>
      <c r="W43" s="68">
        <v>0.8</v>
      </c>
      <c r="X43" s="370">
        <f t="shared" si="2"/>
        <v>4.416191666666666</v>
      </c>
      <c r="Y43" s="68"/>
      <c r="Z43" s="372"/>
      <c r="AA43" s="197"/>
      <c r="AB43" s="204"/>
      <c r="AC43" s="205">
        <f t="shared" si="15"/>
        <v>323.025</v>
      </c>
      <c r="AD43" s="205">
        <f t="shared" si="15"/>
        <v>56.418749999999996</v>
      </c>
      <c r="AE43" s="205">
        <f t="shared" si="7"/>
        <v>82.80359374999999</v>
      </c>
      <c r="AF43" s="205">
        <f t="shared" si="7"/>
        <v>513.38228125</v>
      </c>
      <c r="AG43" s="205">
        <f t="shared" si="7"/>
        <v>356.055453125</v>
      </c>
      <c r="AH43" s="206">
        <f t="shared" si="8"/>
        <v>1331.685078125</v>
      </c>
      <c r="AI43" s="206">
        <f t="shared" si="9"/>
        <v>5520.239583333333</v>
      </c>
      <c r="AJ43" s="207">
        <f t="shared" si="10"/>
        <v>6851.9246614583335</v>
      </c>
      <c r="AK43" s="208"/>
      <c r="AL43" s="221">
        <f t="shared" si="11"/>
        <v>2997.5783333333334</v>
      </c>
      <c r="AM43" s="222">
        <f t="shared" si="12"/>
        <v>3854.346328125</v>
      </c>
      <c r="AN43" s="208"/>
      <c r="AO43" s="227">
        <f t="shared" si="16"/>
        <v>323.025</v>
      </c>
      <c r="AP43" s="227">
        <f t="shared" si="16"/>
        <v>56.418749999999996</v>
      </c>
      <c r="AQ43" s="205">
        <f t="shared" si="13"/>
        <v>82.80359374999999</v>
      </c>
      <c r="AR43" s="205">
        <f t="shared" si="13"/>
        <v>513.38228125</v>
      </c>
      <c r="AS43" s="205">
        <f t="shared" si="13"/>
        <v>99.91633645833333</v>
      </c>
      <c r="AT43" s="231">
        <f t="shared" si="14"/>
        <v>1075.5459614583333</v>
      </c>
    </row>
    <row r="44" spans="1:46" ht="11.25" customHeight="1">
      <c r="A44" s="8">
        <v>38</v>
      </c>
      <c r="B44" s="8">
        <v>64</v>
      </c>
      <c r="C44" s="8"/>
      <c r="D44" s="16">
        <v>8</v>
      </c>
      <c r="E44" s="17">
        <f>VLOOKUP(D44,'A13 - Tabelle'!$A$6:$F$13,6)</f>
        <v>60640.31999999999</v>
      </c>
      <c r="F44" s="17">
        <f>VLOOKUP(D44,'A13 - Tabelle'!$A$6:$G$13,7)</f>
        <v>44013.52</v>
      </c>
      <c r="G44" s="18">
        <f t="shared" si="0"/>
        <v>41493.52</v>
      </c>
      <c r="H44" s="19"/>
      <c r="I44" s="16">
        <v>5</v>
      </c>
      <c r="J44" s="17">
        <f>VLOOKUP(I44,'E13 - Tabelle'!$A$7:$L$19,11)</f>
        <v>66242.875</v>
      </c>
      <c r="K44" s="20">
        <f>VLOOKUP(I44,'E13 - Tabelle'!$A$7:$L$19,12)</f>
        <v>35970.94</v>
      </c>
      <c r="L44" s="28">
        <f t="shared" si="1"/>
        <v>-5522.5799999999945</v>
      </c>
      <c r="M44" s="32">
        <f t="shared" si="5"/>
        <v>-137006.16999999978</v>
      </c>
      <c r="N44" s="8">
        <v>38</v>
      </c>
      <c r="O44" s="8">
        <v>64</v>
      </c>
      <c r="P44" s="47"/>
      <c r="Q44" s="47"/>
      <c r="R44" s="256"/>
      <c r="T44" s="204"/>
      <c r="U44" s="370">
        <f t="shared" si="6"/>
        <v>1.8128865626710455</v>
      </c>
      <c r="V44" s="371"/>
      <c r="W44" s="68">
        <v>0.8</v>
      </c>
      <c r="X44" s="370">
        <f t="shared" si="2"/>
        <v>4.416191666666666</v>
      </c>
      <c r="Y44" s="68"/>
      <c r="Z44" s="372"/>
      <c r="AA44" s="197"/>
      <c r="AB44" s="204"/>
      <c r="AC44" s="205">
        <f t="shared" si="15"/>
        <v>323.025</v>
      </c>
      <c r="AD44" s="205">
        <f t="shared" si="15"/>
        <v>56.418749999999996</v>
      </c>
      <c r="AE44" s="205">
        <f t="shared" si="7"/>
        <v>82.80359374999999</v>
      </c>
      <c r="AF44" s="205">
        <f t="shared" si="7"/>
        <v>513.38228125</v>
      </c>
      <c r="AG44" s="205">
        <f t="shared" si="7"/>
        <v>356.055453125</v>
      </c>
      <c r="AH44" s="206">
        <f t="shared" si="8"/>
        <v>1331.685078125</v>
      </c>
      <c r="AI44" s="206">
        <f t="shared" si="9"/>
        <v>5520.239583333333</v>
      </c>
      <c r="AJ44" s="207">
        <f t="shared" si="10"/>
        <v>6851.9246614583335</v>
      </c>
      <c r="AK44" s="208"/>
      <c r="AL44" s="221">
        <f t="shared" si="11"/>
        <v>2997.5783333333334</v>
      </c>
      <c r="AM44" s="222">
        <f t="shared" si="12"/>
        <v>3854.346328125</v>
      </c>
      <c r="AN44" s="208"/>
      <c r="AO44" s="227">
        <f t="shared" si="16"/>
        <v>323.025</v>
      </c>
      <c r="AP44" s="227">
        <f t="shared" si="16"/>
        <v>56.418749999999996</v>
      </c>
      <c r="AQ44" s="205">
        <f t="shared" si="13"/>
        <v>82.80359374999999</v>
      </c>
      <c r="AR44" s="205">
        <f t="shared" si="13"/>
        <v>513.38228125</v>
      </c>
      <c r="AS44" s="205">
        <f t="shared" si="13"/>
        <v>99.91633645833333</v>
      </c>
      <c r="AT44" s="231">
        <f t="shared" si="14"/>
        <v>1075.5459614583333</v>
      </c>
    </row>
    <row r="45" spans="1:46" ht="11.25" customHeight="1">
      <c r="A45" s="8">
        <v>39</v>
      </c>
      <c r="B45" s="8">
        <v>65</v>
      </c>
      <c r="C45" s="8"/>
      <c r="D45" s="16">
        <v>8</v>
      </c>
      <c r="E45" s="17">
        <f>VLOOKUP(D45,'A13 - Tabelle'!$A$6:$F$13,6)</f>
        <v>60640.31999999999</v>
      </c>
      <c r="F45" s="17">
        <f>VLOOKUP(D45,'A13 - Tabelle'!$A$6:$G$13,7)</f>
        <v>44013.52</v>
      </c>
      <c r="G45" s="18">
        <f t="shared" si="0"/>
        <v>41493.52</v>
      </c>
      <c r="H45" s="19"/>
      <c r="I45" s="16">
        <v>5</v>
      </c>
      <c r="J45" s="17">
        <f>VLOOKUP(I45,'E13 - Tabelle'!$A$7:$L$19,11)</f>
        <v>66242.875</v>
      </c>
      <c r="K45" s="20">
        <f>VLOOKUP(I45,'E13 - Tabelle'!$A$7:$L$19,12)</f>
        <v>35970.94</v>
      </c>
      <c r="L45" s="28">
        <f t="shared" si="1"/>
        <v>-5522.5799999999945</v>
      </c>
      <c r="M45" s="32">
        <f t="shared" si="5"/>
        <v>-142528.74999999977</v>
      </c>
      <c r="N45" s="8">
        <v>39</v>
      </c>
      <c r="O45" s="8">
        <v>65</v>
      </c>
      <c r="P45" s="20" t="s">
        <v>143</v>
      </c>
      <c r="Q45" s="47"/>
      <c r="R45" s="256"/>
      <c r="T45" s="204"/>
      <c r="U45" s="370">
        <f t="shared" si="6"/>
        <v>1.8128865626710455</v>
      </c>
      <c r="V45" s="371"/>
      <c r="W45" s="68">
        <v>0.8</v>
      </c>
      <c r="X45" s="370">
        <f t="shared" si="2"/>
        <v>4.416191666666666</v>
      </c>
      <c r="Y45" s="68"/>
      <c r="Z45" s="372"/>
      <c r="AA45" s="197"/>
      <c r="AB45" s="204"/>
      <c r="AC45" s="205">
        <f t="shared" si="15"/>
        <v>323.025</v>
      </c>
      <c r="AD45" s="205">
        <f t="shared" si="15"/>
        <v>56.418749999999996</v>
      </c>
      <c r="AE45" s="205">
        <f t="shared" si="7"/>
        <v>82.80359374999999</v>
      </c>
      <c r="AF45" s="205">
        <f t="shared" si="7"/>
        <v>513.38228125</v>
      </c>
      <c r="AG45" s="205">
        <f t="shared" si="7"/>
        <v>356.055453125</v>
      </c>
      <c r="AH45" s="206">
        <f t="shared" si="8"/>
        <v>1331.685078125</v>
      </c>
      <c r="AI45" s="206">
        <f t="shared" si="9"/>
        <v>5520.239583333333</v>
      </c>
      <c r="AJ45" s="207">
        <f t="shared" si="10"/>
        <v>6851.9246614583335</v>
      </c>
      <c r="AK45" s="208"/>
      <c r="AL45" s="221">
        <f t="shared" si="11"/>
        <v>2997.5783333333334</v>
      </c>
      <c r="AM45" s="222">
        <f t="shared" si="12"/>
        <v>3854.346328125</v>
      </c>
      <c r="AN45" s="208"/>
      <c r="AO45" s="227">
        <f t="shared" si="16"/>
        <v>323.025</v>
      </c>
      <c r="AP45" s="227">
        <f t="shared" si="16"/>
        <v>56.418749999999996</v>
      </c>
      <c r="AQ45" s="205">
        <f t="shared" si="13"/>
        <v>82.80359374999999</v>
      </c>
      <c r="AR45" s="205">
        <f t="shared" si="13"/>
        <v>513.38228125</v>
      </c>
      <c r="AS45" s="205">
        <f t="shared" si="13"/>
        <v>99.91633645833333</v>
      </c>
      <c r="AT45" s="231">
        <f t="shared" si="14"/>
        <v>1075.5459614583333</v>
      </c>
    </row>
    <row r="46" spans="1:46" ht="11.25" customHeight="1">
      <c r="A46" s="8">
        <v>40</v>
      </c>
      <c r="B46" s="216">
        <v>66</v>
      </c>
      <c r="C46" s="8"/>
      <c r="D46" s="21">
        <v>8</v>
      </c>
      <c r="E46" s="17">
        <f>VLOOKUP(D46,'A13 - Tabelle'!$A$6:$F$13,6)</f>
        <v>60640.31999999999</v>
      </c>
      <c r="F46" s="17">
        <f>VLOOKUP(D46,'A13 - Tabelle'!$A$6:$G$13,7)</f>
        <v>44013.52</v>
      </c>
      <c r="G46" s="18">
        <f t="shared" si="0"/>
        <v>41493.52</v>
      </c>
      <c r="H46" s="19"/>
      <c r="I46" s="16">
        <v>5</v>
      </c>
      <c r="J46" s="17">
        <f>VLOOKUP(I46,'E13 - Tabelle'!$A$7:$L$19,11)</f>
        <v>66242.875</v>
      </c>
      <c r="K46" s="20">
        <f>VLOOKUP(I46,'E13 - Tabelle'!$A$7:$L$19,12)</f>
        <v>35970.94</v>
      </c>
      <c r="L46" s="65">
        <f t="shared" si="1"/>
        <v>-5522.5799999999945</v>
      </c>
      <c r="M46" s="66">
        <f t="shared" si="5"/>
        <v>-148051.32999999975</v>
      </c>
      <c r="N46" s="8">
        <v>40</v>
      </c>
      <c r="O46" s="216">
        <v>66</v>
      </c>
      <c r="P46" s="20" t="s">
        <v>144</v>
      </c>
      <c r="Q46" s="47"/>
      <c r="R46" s="256"/>
      <c r="T46" s="204"/>
      <c r="U46" s="370">
        <f t="shared" si="6"/>
        <v>1.8128865626710455</v>
      </c>
      <c r="V46" s="371"/>
      <c r="W46" s="68">
        <v>0.8</v>
      </c>
      <c r="X46" s="370">
        <f t="shared" si="2"/>
        <v>4.416191666666666</v>
      </c>
      <c r="Y46" s="68"/>
      <c r="Z46" s="372"/>
      <c r="AA46" s="197"/>
      <c r="AB46" s="209"/>
      <c r="AC46" s="205">
        <f t="shared" si="15"/>
        <v>323.025</v>
      </c>
      <c r="AD46" s="205">
        <f t="shared" si="15"/>
        <v>56.418749999999996</v>
      </c>
      <c r="AE46" s="205">
        <f t="shared" si="7"/>
        <v>82.80359374999999</v>
      </c>
      <c r="AF46" s="205">
        <f t="shared" si="7"/>
        <v>513.38228125</v>
      </c>
      <c r="AG46" s="205">
        <f t="shared" si="7"/>
        <v>356.055453125</v>
      </c>
      <c r="AH46" s="206">
        <f t="shared" si="8"/>
        <v>1331.685078125</v>
      </c>
      <c r="AI46" s="206">
        <f t="shared" si="9"/>
        <v>5520.239583333333</v>
      </c>
      <c r="AJ46" s="207">
        <f t="shared" si="10"/>
        <v>6851.9246614583335</v>
      </c>
      <c r="AK46" s="208"/>
      <c r="AL46" s="221">
        <f t="shared" si="11"/>
        <v>2997.5783333333334</v>
      </c>
      <c r="AM46" s="222">
        <f t="shared" si="12"/>
        <v>3854.346328125</v>
      </c>
      <c r="AN46" s="208"/>
      <c r="AO46" s="227">
        <f t="shared" si="16"/>
        <v>323.025</v>
      </c>
      <c r="AP46" s="227">
        <f t="shared" si="16"/>
        <v>56.418749999999996</v>
      </c>
      <c r="AQ46" s="205">
        <f t="shared" si="13"/>
        <v>82.80359374999999</v>
      </c>
      <c r="AR46" s="205">
        <f t="shared" si="13"/>
        <v>513.38228125</v>
      </c>
      <c r="AS46" s="205">
        <f t="shared" si="13"/>
        <v>99.91633645833333</v>
      </c>
      <c r="AT46" s="231">
        <f t="shared" si="14"/>
        <v>1075.5459614583333</v>
      </c>
    </row>
    <row r="47" spans="1:46" s="114" customFormat="1" ht="15.75" thickBot="1">
      <c r="A47" s="108"/>
      <c r="B47" s="108"/>
      <c r="C47" s="108"/>
      <c r="D47" s="105" t="s">
        <v>7</v>
      </c>
      <c r="E47" s="109">
        <f>AVERAGE(E7:E46)</f>
        <v>57409.91100000002</v>
      </c>
      <c r="F47" s="109">
        <f>AVERAGE(F7:F46)</f>
        <v>42192.22325000001</v>
      </c>
      <c r="G47" s="99">
        <f>AVERAGE(G7:G46)</f>
        <v>39672.22325000001</v>
      </c>
      <c r="H47" s="110"/>
      <c r="I47" s="105" t="s">
        <v>7</v>
      </c>
      <c r="J47" s="109">
        <f>AVERAGE(J7:J46)</f>
        <v>66242.875</v>
      </c>
      <c r="K47" s="106">
        <f>AVERAGE(K7:K46)</f>
        <v>35970.939999999966</v>
      </c>
      <c r="L47" s="111">
        <f>AVERAGE(L7:L46)</f>
        <v>-3701.283249999994</v>
      </c>
      <c r="M47" s="112"/>
      <c r="N47" s="404">
        <f>L47*40</f>
        <v>-148051.32999999975</v>
      </c>
      <c r="O47" s="405"/>
      <c r="P47" s="405"/>
      <c r="Q47" s="113"/>
      <c r="R47" s="257"/>
      <c r="T47" s="210" t="s">
        <v>134</v>
      </c>
      <c r="U47" s="373">
        <f>SUM(U7:U46)</f>
        <v>72.51546250684181</v>
      </c>
      <c r="V47" s="374">
        <f>U47*V5</f>
        <v>2322.6702640941435</v>
      </c>
      <c r="W47" s="375"/>
      <c r="X47" s="373">
        <f>SUM(X7:X46)</f>
        <v>294.7807937500002</v>
      </c>
      <c r="Y47" s="376">
        <f>X47*Y5</f>
        <v>1179.1231750000009</v>
      </c>
      <c r="Z47" s="377">
        <f>V47+Y47</f>
        <v>3501.7934390941446</v>
      </c>
      <c r="AA47" s="229"/>
      <c r="AB47" s="210" t="s">
        <v>7</v>
      </c>
      <c r="AC47" s="211">
        <f aca="true" t="shared" si="17" ref="AC47:AJ47">AVERAGE(AC7:AC46)</f>
        <v>323.02499999999975</v>
      </c>
      <c r="AD47" s="211">
        <f t="shared" si="17"/>
        <v>56.41875000000001</v>
      </c>
      <c r="AE47" s="211">
        <f t="shared" si="17"/>
        <v>82.80359374999992</v>
      </c>
      <c r="AF47" s="211">
        <f t="shared" si="17"/>
        <v>513.3822812500001</v>
      </c>
      <c r="AG47" s="211">
        <f t="shared" si="17"/>
        <v>356.055453125</v>
      </c>
      <c r="AH47" s="212">
        <f t="shared" si="17"/>
        <v>1331.685078125001</v>
      </c>
      <c r="AI47" s="212">
        <f t="shared" si="17"/>
        <v>5520.239583333337</v>
      </c>
      <c r="AJ47" s="214">
        <f t="shared" si="17"/>
        <v>6851.924661458332</v>
      </c>
      <c r="AK47" s="208"/>
      <c r="AL47" s="223">
        <f>AVERAGE(AL7:AL46)</f>
        <v>2997.578333333335</v>
      </c>
      <c r="AM47" s="214">
        <f>AVERAGE(AM7:AM46)</f>
        <v>3854.3463281249983</v>
      </c>
      <c r="AN47" s="208"/>
      <c r="AO47" s="228">
        <f aca="true" t="shared" si="18" ref="AO47:AT47">AVERAGE(AO7:AO46)</f>
        <v>323.02499999999975</v>
      </c>
      <c r="AP47" s="211">
        <f t="shared" si="18"/>
        <v>56.41875000000001</v>
      </c>
      <c r="AQ47" s="211">
        <f t="shared" si="18"/>
        <v>82.80359374999992</v>
      </c>
      <c r="AR47" s="211">
        <f t="shared" si="18"/>
        <v>513.3822812500001</v>
      </c>
      <c r="AS47" s="211">
        <f t="shared" si="18"/>
        <v>99.91633645833329</v>
      </c>
      <c r="AT47" s="213">
        <f t="shared" si="18"/>
        <v>1075.545961458333</v>
      </c>
    </row>
    <row r="48" spans="4:46" s="165" customFormat="1" ht="13.5" thickTop="1">
      <c r="D48" s="162" t="s">
        <v>47</v>
      </c>
      <c r="E48" s="163">
        <f>E47/12</f>
        <v>4784.1592500000015</v>
      </c>
      <c r="F48" s="163">
        <f>F47/12</f>
        <v>3516.0186041666675</v>
      </c>
      <c r="G48" s="163">
        <f>G47/12</f>
        <v>3306.0186041666675</v>
      </c>
      <c r="H48" s="163"/>
      <c r="I48" s="164"/>
      <c r="J48" s="163">
        <f>J47/12</f>
        <v>5520.239583333333</v>
      </c>
      <c r="K48" s="163">
        <f>K47/12</f>
        <v>2997.5783333333306</v>
      </c>
      <c r="L48" s="163">
        <f>L47/12</f>
        <v>-308.4402708333328</v>
      </c>
      <c r="M48" s="31"/>
      <c r="N48" s="31"/>
      <c r="O48" s="31"/>
      <c r="P48" s="31"/>
      <c r="Q48" s="31"/>
      <c r="R48" s="257"/>
      <c r="S48" s="365"/>
      <c r="T48" s="365"/>
      <c r="U48" s="365"/>
      <c r="V48" s="365"/>
      <c r="W48" s="365"/>
      <c r="X48" s="365"/>
      <c r="AA48" s="230"/>
      <c r="AB48" s="217" t="s">
        <v>58</v>
      </c>
      <c r="AC48" s="215"/>
      <c r="AD48" s="215"/>
      <c r="AE48" s="40" t="s">
        <v>71</v>
      </c>
      <c r="AF48" s="240" t="s">
        <v>73</v>
      </c>
      <c r="AK48" s="161"/>
      <c r="AL48" s="161"/>
      <c r="AM48" s="161"/>
      <c r="AN48" s="161"/>
      <c r="AO48" s="161"/>
      <c r="AP48" s="161"/>
      <c r="AQ48" s="161"/>
      <c r="AR48" s="161"/>
      <c r="AS48" s="161"/>
      <c r="AT48" s="161"/>
    </row>
    <row r="49" spans="1:46" ht="12.75">
      <c r="A49" s="258"/>
      <c r="B49" s="258"/>
      <c r="C49" s="258"/>
      <c r="D49" s="256"/>
      <c r="E49" s="259"/>
      <c r="F49" s="260"/>
      <c r="G49" s="261"/>
      <c r="H49" s="262"/>
      <c r="I49" s="256"/>
      <c r="J49" s="259"/>
      <c r="K49" s="261"/>
      <c r="L49" s="263"/>
      <c r="M49" s="263"/>
      <c r="N49" s="264"/>
      <c r="O49" s="265"/>
      <c r="P49" s="266"/>
      <c r="Q49" s="266"/>
      <c r="R49" s="256"/>
      <c r="AA49" s="197"/>
      <c r="AB49" s="40" t="s">
        <v>70</v>
      </c>
      <c r="AC49" s="218"/>
      <c r="AD49" s="218"/>
      <c r="AE49" s="218"/>
      <c r="AF49" s="218"/>
      <c r="AG49" s="218"/>
      <c r="AH49" s="216"/>
      <c r="AI49" s="216"/>
      <c r="AJ49" s="215"/>
      <c r="AK49" s="215"/>
      <c r="AL49" s="40"/>
      <c r="AM49" s="240" t="s">
        <v>72</v>
      </c>
      <c r="AN49" s="215"/>
      <c r="AP49" s="215"/>
      <c r="AQ49" s="215"/>
      <c r="AR49" s="240" t="s">
        <v>74</v>
      </c>
      <c r="AS49" s="215"/>
      <c r="AT49" s="216"/>
    </row>
    <row r="50" spans="9:11" ht="12.75">
      <c r="I50" s="242" t="s">
        <v>78</v>
      </c>
      <c r="J50" s="163">
        <f>J48-'E13 - Modell'!J48</f>
        <v>142.04557291666606</v>
      </c>
      <c r="K50" s="163">
        <f>K48-'E13 - Modell'!K48</f>
        <v>64.75949999999784</v>
      </c>
    </row>
  </sheetData>
  <sheetProtection/>
  <mergeCells count="3">
    <mergeCell ref="D5:G5"/>
    <mergeCell ref="I5:M5"/>
    <mergeCell ref="N47:P47"/>
  </mergeCells>
  <hyperlinks>
    <hyperlink ref="AM49" r:id="rId1" display="http://www.aok-bv.de/zahlen/gesundheitswesen/index_00529.html"/>
    <hyperlink ref="AR49" r:id="rId2" display="http://www.lohn-info.de/beitragsberechnung.html"/>
  </hyperlinks>
  <printOptions/>
  <pageMargins left="0.57" right="0.18" top="0.19" bottom="0.2" header="0.19" footer="0.17"/>
  <pageSetup horizontalDpi="600" verticalDpi="600" orientation="landscape" paperSize="9" r:id="rId3"/>
</worksheet>
</file>

<file path=xl/worksheets/sheet11.xml><?xml version="1.0" encoding="utf-8"?>
<worksheet xmlns="http://schemas.openxmlformats.org/spreadsheetml/2006/main" xmlns:r="http://schemas.openxmlformats.org/officeDocument/2006/relationships">
  <dimension ref="A1:AT53"/>
  <sheetViews>
    <sheetView zoomScale="80" zoomScaleNormal="80" zoomScalePageLayoutView="0" workbookViewId="0" topLeftCell="A6">
      <selection activeCell="K47" sqref="K47"/>
    </sheetView>
  </sheetViews>
  <sheetFormatPr defaultColWidth="11.421875" defaultRowHeight="12.75"/>
  <cols>
    <col min="1" max="1" width="5.57421875" style="5" customWidth="1"/>
    <col min="2" max="2" width="3.8515625" style="5" customWidth="1"/>
    <col min="3" max="3" width="2.28125" style="5" customWidth="1"/>
    <col min="4" max="4" width="4.421875" style="0" customWidth="1"/>
    <col min="5" max="5" width="11.00390625" style="3" customWidth="1"/>
    <col min="6" max="6" width="11.140625" style="6" customWidth="1"/>
    <col min="7" max="7" width="13.7109375" style="4" customWidth="1"/>
    <col min="8" max="8" width="2.421875" style="7" customWidth="1"/>
    <col min="9" max="9" width="4.140625" style="0" customWidth="1"/>
    <col min="10" max="10" width="11.421875" style="3" customWidth="1"/>
    <col min="11" max="11" width="12.57421875" style="4" customWidth="1"/>
    <col min="12" max="12" width="10.8515625" style="26" customWidth="1"/>
    <col min="13" max="13" width="11.57421875" style="26" customWidth="1"/>
    <col min="14" max="14" width="5.57421875" style="6" customWidth="1"/>
    <col min="15" max="15" width="4.28125" style="26" customWidth="1"/>
    <col min="16" max="16" width="11.421875" style="30" customWidth="1"/>
    <col min="17" max="17" width="5.8515625" style="30" customWidth="1"/>
    <col min="18" max="18" width="2.57421875" style="0" customWidth="1"/>
    <col min="19" max="19" width="3.421875" style="0" customWidth="1"/>
    <col min="20" max="20" width="2.28125" style="197" customWidth="1"/>
    <col min="21" max="21" width="11.28125" style="197" customWidth="1"/>
    <col min="22" max="22" width="11.421875" style="197" customWidth="1"/>
    <col min="23" max="23" width="6.28125" style="197" customWidth="1"/>
    <col min="24" max="24" width="10.28125" style="197" customWidth="1"/>
    <col min="27" max="27" width="3.421875" style="0" customWidth="1"/>
    <col min="28" max="28" width="4.421875" style="0" customWidth="1"/>
    <col min="35" max="35" width="12.421875" style="0" customWidth="1"/>
    <col min="37" max="37" width="17.8515625" style="0" customWidth="1"/>
    <col min="40" max="40" width="4.140625" style="0" customWidth="1"/>
  </cols>
  <sheetData>
    <row r="1" spans="4:46" ht="12.75" customHeight="1">
      <c r="D1" s="34" t="s">
        <v>100</v>
      </c>
      <c r="P1" s="22" t="s">
        <v>123</v>
      </c>
      <c r="Q1" s="33">
        <v>210</v>
      </c>
      <c r="R1" s="347"/>
      <c r="S1" s="197"/>
      <c r="U1" s="197" t="s">
        <v>130</v>
      </c>
      <c r="V1" s="367" t="s">
        <v>132</v>
      </c>
      <c r="W1" s="367"/>
      <c r="Y1" s="367" t="s">
        <v>137</v>
      </c>
      <c r="AA1" s="197"/>
      <c r="AB1" s="197"/>
      <c r="AC1" s="2" t="s">
        <v>50</v>
      </c>
      <c r="AF1" s="239" t="s">
        <v>127</v>
      </c>
      <c r="AH1" s="198"/>
      <c r="AI1" s="198"/>
      <c r="AJ1" s="208">
        <v>53100</v>
      </c>
      <c r="AK1" s="117" t="s">
        <v>128</v>
      </c>
      <c r="AM1" s="137"/>
      <c r="AN1" s="2"/>
      <c r="AO1" s="2" t="s">
        <v>60</v>
      </c>
      <c r="AT1" s="198"/>
    </row>
    <row r="2" spans="18:46" ht="2.25" customHeight="1">
      <c r="R2" s="347"/>
      <c r="S2" s="197"/>
      <c r="Y2" s="197"/>
      <c r="AA2" s="197"/>
      <c r="AB2" s="197"/>
      <c r="AH2" s="198"/>
      <c r="AI2" s="198"/>
      <c r="AJ2" s="2"/>
      <c r="AK2" s="117"/>
      <c r="AL2" s="117"/>
      <c r="AM2" s="137"/>
      <c r="AN2" s="2"/>
      <c r="AT2" s="198"/>
    </row>
    <row r="3" spans="1:46" ht="12.75">
      <c r="A3" s="8"/>
      <c r="B3" s="8"/>
      <c r="C3" s="8"/>
      <c r="D3" s="40" t="s">
        <v>124</v>
      </c>
      <c r="E3" s="10"/>
      <c r="F3" s="10"/>
      <c r="G3" s="11"/>
      <c r="H3" s="12"/>
      <c r="I3" s="9"/>
      <c r="J3" s="10"/>
      <c r="K3" s="11"/>
      <c r="L3" s="27"/>
      <c r="M3" s="27"/>
      <c r="N3" s="23"/>
      <c r="O3" s="27"/>
      <c r="P3" s="31"/>
      <c r="Q3" s="31"/>
      <c r="R3" s="347"/>
      <c r="S3" s="197"/>
      <c r="U3" s="367" t="s">
        <v>141</v>
      </c>
      <c r="V3" s="369" t="s">
        <v>140</v>
      </c>
      <c r="Y3" s="367" t="s">
        <v>142</v>
      </c>
      <c r="AA3" s="197"/>
      <c r="AB3" s="197"/>
      <c r="AC3" t="s">
        <v>49</v>
      </c>
      <c r="AD3" t="s">
        <v>49</v>
      </c>
      <c r="AE3" t="s">
        <v>49</v>
      </c>
      <c r="AF3" t="s">
        <v>49</v>
      </c>
      <c r="AG3" t="s">
        <v>49</v>
      </c>
      <c r="AH3" s="198"/>
      <c r="AI3" s="198" t="s">
        <v>129</v>
      </c>
      <c r="AJ3" s="208">
        <v>78000</v>
      </c>
      <c r="AK3" s="117" t="s">
        <v>128</v>
      </c>
      <c r="AL3" s="117"/>
      <c r="AM3" s="137"/>
      <c r="AN3" s="2"/>
      <c r="AO3" t="s">
        <v>49</v>
      </c>
      <c r="AP3" t="s">
        <v>49</v>
      </c>
      <c r="AQ3" t="s">
        <v>49</v>
      </c>
      <c r="AR3" t="s">
        <v>49</v>
      </c>
      <c r="AS3" t="s">
        <v>49</v>
      </c>
      <c r="AT3" s="198"/>
    </row>
    <row r="4" spans="1:46" ht="3" customHeight="1">
      <c r="A4" s="8"/>
      <c r="B4" s="8"/>
      <c r="C4" s="8"/>
      <c r="D4" s="9"/>
      <c r="E4" s="10"/>
      <c r="F4" s="10"/>
      <c r="G4" s="11"/>
      <c r="H4" s="12"/>
      <c r="I4" s="9"/>
      <c r="J4" s="10"/>
      <c r="K4" s="11"/>
      <c r="L4" s="27"/>
      <c r="M4" s="27"/>
      <c r="N4" s="23"/>
      <c r="O4" s="27"/>
      <c r="P4" s="31"/>
      <c r="Q4" s="31"/>
      <c r="R4" s="347"/>
      <c r="S4" s="197"/>
      <c r="Y4" s="197"/>
      <c r="AA4" s="197"/>
      <c r="AB4" s="197"/>
      <c r="AH4" s="198"/>
      <c r="AI4" s="198"/>
      <c r="AJ4" s="2"/>
      <c r="AK4" s="2"/>
      <c r="AL4" s="117"/>
      <c r="AM4" s="137"/>
      <c r="AN4" s="2"/>
      <c r="AT4" s="198"/>
    </row>
    <row r="5" spans="1:46" ht="35.25" customHeight="1">
      <c r="A5" s="8"/>
      <c r="B5" s="8"/>
      <c r="C5" s="8"/>
      <c r="D5" s="406" t="s">
        <v>98</v>
      </c>
      <c r="E5" s="407"/>
      <c r="F5" s="407"/>
      <c r="G5" s="408"/>
      <c r="H5" s="25"/>
      <c r="I5" s="409" t="s">
        <v>99</v>
      </c>
      <c r="J5" s="402"/>
      <c r="K5" s="402"/>
      <c r="L5" s="402"/>
      <c r="M5" s="403"/>
      <c r="N5" s="58"/>
      <c r="O5" s="58"/>
      <c r="P5" s="58"/>
      <c r="Q5" s="58"/>
      <c r="R5" s="347"/>
      <c r="S5" s="197"/>
      <c r="U5" s="366">
        <v>3045</v>
      </c>
      <c r="V5" s="368">
        <v>32.03</v>
      </c>
      <c r="W5" s="368"/>
      <c r="Y5" s="368">
        <v>4</v>
      </c>
      <c r="AA5" s="197"/>
      <c r="AB5" s="197"/>
      <c r="AC5" s="219">
        <v>0.073</v>
      </c>
      <c r="AD5" s="220">
        <v>0.01275</v>
      </c>
      <c r="AE5" s="219">
        <v>0.015</v>
      </c>
      <c r="AF5" s="219">
        <v>0.093</v>
      </c>
      <c r="AG5" s="219">
        <v>0.0645</v>
      </c>
      <c r="AH5" s="219">
        <f>SUM(AC5:AG5)</f>
        <v>0.25825</v>
      </c>
      <c r="AI5" s="198"/>
      <c r="AJ5" s="2"/>
      <c r="AK5" s="2"/>
      <c r="AL5" s="117"/>
      <c r="AM5" s="137"/>
      <c r="AN5" s="2"/>
      <c r="AO5" s="219">
        <v>0.073</v>
      </c>
      <c r="AP5" s="220">
        <v>0.01275</v>
      </c>
      <c r="AQ5" s="219">
        <v>0.015</v>
      </c>
      <c r="AR5" s="219">
        <v>0.093</v>
      </c>
      <c r="AS5" s="219">
        <v>0.0181</v>
      </c>
      <c r="AT5" s="219">
        <f>SUM(AO5:AS5)</f>
        <v>0.21184999999999998</v>
      </c>
    </row>
    <row r="6" spans="1:46" ht="33" customHeight="1">
      <c r="A6" s="107" t="s">
        <v>29</v>
      </c>
      <c r="B6" s="13" t="s">
        <v>1</v>
      </c>
      <c r="C6" s="13"/>
      <c r="D6" s="59" t="s">
        <v>2</v>
      </c>
      <c r="E6" s="60" t="s">
        <v>4</v>
      </c>
      <c r="F6" s="60" t="s">
        <v>3</v>
      </c>
      <c r="G6" s="61" t="s">
        <v>23</v>
      </c>
      <c r="H6" s="15"/>
      <c r="I6" s="59" t="s">
        <v>2</v>
      </c>
      <c r="J6" s="60" t="s">
        <v>5</v>
      </c>
      <c r="K6" s="62" t="s">
        <v>6</v>
      </c>
      <c r="L6" s="63" t="s">
        <v>8</v>
      </c>
      <c r="M6" s="64" t="s">
        <v>24</v>
      </c>
      <c r="N6" s="107" t="s">
        <v>29</v>
      </c>
      <c r="O6" s="13" t="s">
        <v>1</v>
      </c>
      <c r="P6" s="48"/>
      <c r="Q6" s="48"/>
      <c r="R6" s="347"/>
      <c r="S6" s="197"/>
      <c r="T6" s="378"/>
      <c r="U6" s="379" t="s">
        <v>131</v>
      </c>
      <c r="V6" s="380" t="s">
        <v>133</v>
      </c>
      <c r="W6" s="380" t="s">
        <v>135</v>
      </c>
      <c r="X6" s="381" t="s">
        <v>136</v>
      </c>
      <c r="Y6" s="380" t="s">
        <v>138</v>
      </c>
      <c r="Z6" s="382" t="s">
        <v>139</v>
      </c>
      <c r="AA6" s="197"/>
      <c r="AB6" s="199"/>
      <c r="AC6" s="200" t="s">
        <v>62</v>
      </c>
      <c r="AD6" s="200" t="s">
        <v>51</v>
      </c>
      <c r="AE6" s="200" t="s">
        <v>94</v>
      </c>
      <c r="AF6" s="200" t="s">
        <v>76</v>
      </c>
      <c r="AG6" s="200" t="s">
        <v>61</v>
      </c>
      <c r="AH6" s="201" t="s">
        <v>54</v>
      </c>
      <c r="AI6" s="201" t="s">
        <v>55</v>
      </c>
      <c r="AJ6" s="202" t="s">
        <v>56</v>
      </c>
      <c r="AK6" s="203"/>
      <c r="AL6" s="224" t="s">
        <v>57</v>
      </c>
      <c r="AM6" s="225" t="s">
        <v>59</v>
      </c>
      <c r="AN6" s="203"/>
      <c r="AO6" s="226" t="s">
        <v>62</v>
      </c>
      <c r="AP6" s="200" t="s">
        <v>51</v>
      </c>
      <c r="AQ6" s="200" t="s">
        <v>52</v>
      </c>
      <c r="AR6" s="200" t="s">
        <v>53</v>
      </c>
      <c r="AS6" s="200" t="s">
        <v>61</v>
      </c>
      <c r="AT6" s="232" t="s">
        <v>54</v>
      </c>
    </row>
    <row r="7" spans="1:46" ht="11.25" customHeight="1">
      <c r="A7" s="8">
        <v>1</v>
      </c>
      <c r="B7" s="8">
        <v>27</v>
      </c>
      <c r="C7" s="8"/>
      <c r="D7" s="346">
        <v>1</v>
      </c>
      <c r="E7" s="17">
        <f>VLOOKUP(D7,'A13 - Tabelle'!$A$6:$F$13,6)</f>
        <v>47088.24</v>
      </c>
      <c r="F7" s="17">
        <f>VLOOKUP(D7,'A13 - Tabelle'!$A$6:$G$13,7)</f>
        <v>36235.46</v>
      </c>
      <c r="G7" s="18">
        <f aca="true" t="shared" si="0" ref="G7:G46">F7-12*$Q$1</f>
        <v>33715.46</v>
      </c>
      <c r="H7" s="19"/>
      <c r="I7" s="16">
        <v>3</v>
      </c>
      <c r="J7" s="17">
        <f>VLOOKUP(I7,'E13 - Tabelle'!$A$7:$L$19,11)</f>
        <v>53664.625</v>
      </c>
      <c r="K7" s="20">
        <f>VLOOKUP(I7,'E13 - Tabelle'!$A$7:$L$19,12)</f>
        <v>30360.43</v>
      </c>
      <c r="L7" s="28">
        <f aca="true" t="shared" si="1" ref="L7:L46">K7-G7</f>
        <v>-3355.029999999999</v>
      </c>
      <c r="M7" s="32">
        <f>L7</f>
        <v>-3355.029999999999</v>
      </c>
      <c r="N7" s="8">
        <v>1</v>
      </c>
      <c r="O7" s="8">
        <v>27</v>
      </c>
      <c r="P7" s="47"/>
      <c r="Q7" s="47"/>
      <c r="R7" s="347"/>
      <c r="S7" s="197"/>
      <c r="T7" s="204"/>
      <c r="U7" s="370">
        <f>J7/(U$5*12)</f>
        <v>1.468654214559387</v>
      </c>
      <c r="V7" s="371"/>
      <c r="W7" s="68">
        <v>2.2</v>
      </c>
      <c r="X7" s="370">
        <f aca="true" t="shared" si="2" ref="X7:X46">J7/12/1000*W7</f>
        <v>9.838514583333334</v>
      </c>
      <c r="Y7" s="68"/>
      <c r="Z7" s="372"/>
      <c r="AA7" s="197"/>
      <c r="AB7" s="204"/>
      <c r="AC7" s="205">
        <f aca="true" t="shared" si="3" ref="AC7:AD26">IF(($J7&lt;$AJ$1),$J7/12*AC$5,$AJ$1/12*AC$5)</f>
        <v>323.025</v>
      </c>
      <c r="AD7" s="205">
        <f t="shared" si="3"/>
        <v>56.418749999999996</v>
      </c>
      <c r="AE7" s="205">
        <f aca="true" t="shared" si="4" ref="AE7:AG26">$J7/12*AE$5</f>
        <v>67.08078124999999</v>
      </c>
      <c r="AF7" s="205">
        <f t="shared" si="4"/>
        <v>415.90084375</v>
      </c>
      <c r="AG7" s="205">
        <f t="shared" si="4"/>
        <v>288.44735937499996</v>
      </c>
      <c r="AH7" s="206">
        <f aca="true" t="shared" si="5" ref="AH7:AH46">SUM(AC7:AG7)</f>
        <v>1150.872734375</v>
      </c>
      <c r="AI7" s="206">
        <f aca="true" t="shared" si="6" ref="AI7:AI46">J7/12</f>
        <v>4472.052083333333</v>
      </c>
      <c r="AJ7" s="207">
        <f aca="true" t="shared" si="7" ref="AJ7:AJ46">AI7+AH7</f>
        <v>5622.924817708333</v>
      </c>
      <c r="AK7" s="208"/>
      <c r="AL7" s="221">
        <f aca="true" t="shared" si="8" ref="AL7:AL46">K7/12</f>
        <v>2530.0358333333334</v>
      </c>
      <c r="AM7" s="222">
        <f aca="true" t="shared" si="9" ref="AM7:AM46">AJ7-AL7</f>
        <v>3092.8889843749994</v>
      </c>
      <c r="AN7" s="208"/>
      <c r="AO7" s="227">
        <f aca="true" t="shared" si="10" ref="AO7:AP26">IF(($J7&lt;$AJ$1),$J7/12*AO$5,$AJ$1/12*AO$5)</f>
        <v>323.025</v>
      </c>
      <c r="AP7" s="227">
        <f t="shared" si="10"/>
        <v>56.418749999999996</v>
      </c>
      <c r="AQ7" s="205">
        <f aca="true" t="shared" si="11" ref="AQ7:AS26">$J7/12*AQ$5</f>
        <v>67.08078124999999</v>
      </c>
      <c r="AR7" s="205">
        <f t="shared" si="11"/>
        <v>415.90084375</v>
      </c>
      <c r="AS7" s="205">
        <f t="shared" si="11"/>
        <v>80.94414270833333</v>
      </c>
      <c r="AT7" s="231">
        <f aca="true" t="shared" si="12" ref="AT7:AT46">SUM(AO7:AS7)</f>
        <v>943.3695177083332</v>
      </c>
    </row>
    <row r="8" spans="1:46" ht="11.25" customHeight="1">
      <c r="A8" s="8">
        <v>2</v>
      </c>
      <c r="B8" s="8">
        <v>28</v>
      </c>
      <c r="C8" s="8"/>
      <c r="D8" s="346">
        <v>2</v>
      </c>
      <c r="E8" s="17">
        <f>VLOOKUP(D8,'A13 - Tabelle'!$A$6:$F$13,6)</f>
        <v>49409.64</v>
      </c>
      <c r="F8" s="17">
        <f>VLOOKUP(D8,'A13 - Tabelle'!$A$6:$G$13,7)</f>
        <v>37624.24</v>
      </c>
      <c r="G8" s="18">
        <f t="shared" si="0"/>
        <v>35104.24</v>
      </c>
      <c r="H8" s="19"/>
      <c r="I8" s="16">
        <v>3</v>
      </c>
      <c r="J8" s="17">
        <f>VLOOKUP(I8,'E13 - Tabelle'!$A$7:$L$19,11)</f>
        <v>53664.625</v>
      </c>
      <c r="K8" s="20">
        <f>VLOOKUP(I8,'E13 - Tabelle'!$A$7:$L$19,12)</f>
        <v>30360.43</v>
      </c>
      <c r="L8" s="28">
        <f t="shared" si="1"/>
        <v>-4743.809999999998</v>
      </c>
      <c r="M8" s="32">
        <f aca="true" t="shared" si="13" ref="M8:M46">L8+M7</f>
        <v>-8098.8399999999965</v>
      </c>
      <c r="N8" s="8">
        <v>2</v>
      </c>
      <c r="O8" s="8">
        <v>28</v>
      </c>
      <c r="P8" s="47"/>
      <c r="Q8" s="47"/>
      <c r="R8" s="347"/>
      <c r="S8" s="197"/>
      <c r="T8" s="204"/>
      <c r="U8" s="370">
        <f aca="true" t="shared" si="14" ref="U8:U46">J8/(U$5*12)</f>
        <v>1.468654214559387</v>
      </c>
      <c r="V8" s="371"/>
      <c r="W8" s="68">
        <v>2.2</v>
      </c>
      <c r="X8" s="370">
        <f t="shared" si="2"/>
        <v>9.838514583333334</v>
      </c>
      <c r="Y8" s="68"/>
      <c r="Z8" s="372"/>
      <c r="AA8" s="197"/>
      <c r="AB8" s="204"/>
      <c r="AC8" s="205">
        <f t="shared" si="3"/>
        <v>323.025</v>
      </c>
      <c r="AD8" s="205">
        <f t="shared" si="3"/>
        <v>56.418749999999996</v>
      </c>
      <c r="AE8" s="205">
        <f t="shared" si="4"/>
        <v>67.08078124999999</v>
      </c>
      <c r="AF8" s="205">
        <f t="shared" si="4"/>
        <v>415.90084375</v>
      </c>
      <c r="AG8" s="205">
        <f t="shared" si="4"/>
        <v>288.44735937499996</v>
      </c>
      <c r="AH8" s="206">
        <f t="shared" si="5"/>
        <v>1150.872734375</v>
      </c>
      <c r="AI8" s="206">
        <f t="shared" si="6"/>
        <v>4472.052083333333</v>
      </c>
      <c r="AJ8" s="207">
        <f t="shared" si="7"/>
        <v>5622.924817708333</v>
      </c>
      <c r="AK8" s="208"/>
      <c r="AL8" s="221">
        <f t="shared" si="8"/>
        <v>2530.0358333333334</v>
      </c>
      <c r="AM8" s="222">
        <f t="shared" si="9"/>
        <v>3092.8889843749994</v>
      </c>
      <c r="AN8" s="208"/>
      <c r="AO8" s="227">
        <f t="shared" si="10"/>
        <v>323.025</v>
      </c>
      <c r="AP8" s="227">
        <f t="shared" si="10"/>
        <v>56.418749999999996</v>
      </c>
      <c r="AQ8" s="205">
        <f t="shared" si="11"/>
        <v>67.08078124999999</v>
      </c>
      <c r="AR8" s="205">
        <f t="shared" si="11"/>
        <v>415.90084375</v>
      </c>
      <c r="AS8" s="205">
        <f t="shared" si="11"/>
        <v>80.94414270833333</v>
      </c>
      <c r="AT8" s="231">
        <f t="shared" si="12"/>
        <v>943.3695177083332</v>
      </c>
    </row>
    <row r="9" spans="1:46" ht="11.25" customHeight="1">
      <c r="A9" s="8">
        <v>3</v>
      </c>
      <c r="B9" s="8">
        <v>29</v>
      </c>
      <c r="C9" s="8"/>
      <c r="D9" s="346">
        <v>2</v>
      </c>
      <c r="E9" s="17">
        <f>VLOOKUP(D9,'A13 - Tabelle'!$A$6:$F$13,6)</f>
        <v>49409.64</v>
      </c>
      <c r="F9" s="17">
        <f>VLOOKUP(D9,'A13 - Tabelle'!$A$6:$G$13,7)</f>
        <v>37624.24</v>
      </c>
      <c r="G9" s="18">
        <f t="shared" si="0"/>
        <v>35104.24</v>
      </c>
      <c r="H9" s="19"/>
      <c r="I9" s="16">
        <v>4</v>
      </c>
      <c r="J9" s="17">
        <f>VLOOKUP(I9,'E13 - Tabelle'!$A$7:$L$19,11)</f>
        <v>58944.37500000001</v>
      </c>
      <c r="K9" s="20">
        <f>VLOOKUP(I9,'E13 - Tabelle'!$A$7:$L$19,12)</f>
        <v>32798.08</v>
      </c>
      <c r="L9" s="28">
        <f t="shared" si="1"/>
        <v>-2306.159999999996</v>
      </c>
      <c r="M9" s="32">
        <f t="shared" si="13"/>
        <v>-10404.999999999993</v>
      </c>
      <c r="N9" s="8">
        <v>3</v>
      </c>
      <c r="O9" s="8">
        <v>29</v>
      </c>
      <c r="P9" s="47"/>
      <c r="Q9" s="47"/>
      <c r="R9" s="347"/>
      <c r="S9" s="197"/>
      <c r="T9" s="204"/>
      <c r="U9" s="370">
        <f t="shared" si="14"/>
        <v>1.6131465517241381</v>
      </c>
      <c r="V9" s="371"/>
      <c r="W9" s="68">
        <v>2.1</v>
      </c>
      <c r="X9" s="370">
        <f t="shared" si="2"/>
        <v>10.315265625000002</v>
      </c>
      <c r="Y9" s="68"/>
      <c r="Z9" s="372"/>
      <c r="AA9" s="197"/>
      <c r="AB9" s="204"/>
      <c r="AC9" s="205">
        <f t="shared" si="3"/>
        <v>323.025</v>
      </c>
      <c r="AD9" s="205">
        <f t="shared" si="3"/>
        <v>56.418749999999996</v>
      </c>
      <c r="AE9" s="205">
        <f t="shared" si="4"/>
        <v>73.68046875000002</v>
      </c>
      <c r="AF9" s="205">
        <f t="shared" si="4"/>
        <v>456.81890625000005</v>
      </c>
      <c r="AG9" s="205">
        <f t="shared" si="4"/>
        <v>316.8260156250001</v>
      </c>
      <c r="AH9" s="206">
        <f t="shared" si="5"/>
        <v>1226.769140625</v>
      </c>
      <c r="AI9" s="206">
        <f t="shared" si="6"/>
        <v>4912.031250000001</v>
      </c>
      <c r="AJ9" s="207">
        <f t="shared" si="7"/>
        <v>6138.8003906250015</v>
      </c>
      <c r="AK9" s="208"/>
      <c r="AL9" s="221">
        <f t="shared" si="8"/>
        <v>2733.1733333333336</v>
      </c>
      <c r="AM9" s="222">
        <f t="shared" si="9"/>
        <v>3405.627057291668</v>
      </c>
      <c r="AN9" s="208"/>
      <c r="AO9" s="227">
        <f t="shared" si="10"/>
        <v>323.025</v>
      </c>
      <c r="AP9" s="227">
        <f t="shared" si="10"/>
        <v>56.418749999999996</v>
      </c>
      <c r="AQ9" s="205">
        <f t="shared" si="11"/>
        <v>73.68046875000002</v>
      </c>
      <c r="AR9" s="205">
        <f t="shared" si="11"/>
        <v>456.81890625000005</v>
      </c>
      <c r="AS9" s="205">
        <f t="shared" si="11"/>
        <v>88.90776562500002</v>
      </c>
      <c r="AT9" s="231">
        <f t="shared" si="12"/>
        <v>998.850890625</v>
      </c>
    </row>
    <row r="10" spans="1:46" ht="11.25" customHeight="1">
      <c r="A10" s="8">
        <v>4</v>
      </c>
      <c r="B10" s="8">
        <v>30</v>
      </c>
      <c r="C10" s="8"/>
      <c r="D10" s="346">
        <v>2</v>
      </c>
      <c r="E10" s="17">
        <f>VLOOKUP(D10,'A13 - Tabelle'!$A$6:$F$13,6)</f>
        <v>49409.64</v>
      </c>
      <c r="F10" s="17">
        <f>VLOOKUP(D10,'A13 - Tabelle'!$A$6:$G$13,7)</f>
        <v>37624.24</v>
      </c>
      <c r="G10" s="18">
        <f t="shared" si="0"/>
        <v>35104.24</v>
      </c>
      <c r="H10" s="19"/>
      <c r="I10" s="16">
        <v>4</v>
      </c>
      <c r="J10" s="17">
        <f>VLOOKUP(I10,'E13 - Tabelle'!$A$7:$L$19,11)</f>
        <v>58944.37500000001</v>
      </c>
      <c r="K10" s="20">
        <f>VLOOKUP(I10,'E13 - Tabelle'!$A$7:$L$19,12)</f>
        <v>32798.08</v>
      </c>
      <c r="L10" s="28">
        <f t="shared" si="1"/>
        <v>-2306.159999999996</v>
      </c>
      <c r="M10" s="32">
        <f t="shared" si="13"/>
        <v>-12711.159999999989</v>
      </c>
      <c r="N10" s="8">
        <v>4</v>
      </c>
      <c r="O10" s="8">
        <v>30</v>
      </c>
      <c r="P10" s="47"/>
      <c r="Q10" s="47"/>
      <c r="R10" s="347"/>
      <c r="S10" s="197"/>
      <c r="T10" s="204"/>
      <c r="U10" s="370">
        <f t="shared" si="14"/>
        <v>1.6131465517241381</v>
      </c>
      <c r="V10" s="371"/>
      <c r="W10" s="68">
        <v>2</v>
      </c>
      <c r="X10" s="370">
        <f t="shared" si="2"/>
        <v>9.824062500000002</v>
      </c>
      <c r="Y10" s="68"/>
      <c r="Z10" s="372"/>
      <c r="AA10" s="197"/>
      <c r="AB10" s="204"/>
      <c r="AC10" s="205">
        <f t="shared" si="3"/>
        <v>323.025</v>
      </c>
      <c r="AD10" s="205">
        <f t="shared" si="3"/>
        <v>56.418749999999996</v>
      </c>
      <c r="AE10" s="205">
        <f t="shared" si="4"/>
        <v>73.68046875000002</v>
      </c>
      <c r="AF10" s="205">
        <f t="shared" si="4"/>
        <v>456.81890625000005</v>
      </c>
      <c r="AG10" s="205">
        <f t="shared" si="4"/>
        <v>316.8260156250001</v>
      </c>
      <c r="AH10" s="206">
        <f t="shared" si="5"/>
        <v>1226.769140625</v>
      </c>
      <c r="AI10" s="206">
        <f t="shared" si="6"/>
        <v>4912.031250000001</v>
      </c>
      <c r="AJ10" s="207">
        <f t="shared" si="7"/>
        <v>6138.8003906250015</v>
      </c>
      <c r="AK10" s="208"/>
      <c r="AL10" s="221">
        <f t="shared" si="8"/>
        <v>2733.1733333333336</v>
      </c>
      <c r="AM10" s="222">
        <f t="shared" si="9"/>
        <v>3405.627057291668</v>
      </c>
      <c r="AN10" s="208"/>
      <c r="AO10" s="227">
        <f t="shared" si="10"/>
        <v>323.025</v>
      </c>
      <c r="AP10" s="227">
        <f t="shared" si="10"/>
        <v>56.418749999999996</v>
      </c>
      <c r="AQ10" s="205">
        <f t="shared" si="11"/>
        <v>73.68046875000002</v>
      </c>
      <c r="AR10" s="205">
        <f t="shared" si="11"/>
        <v>456.81890625000005</v>
      </c>
      <c r="AS10" s="205">
        <f t="shared" si="11"/>
        <v>88.90776562500002</v>
      </c>
      <c r="AT10" s="231">
        <f t="shared" si="12"/>
        <v>998.850890625</v>
      </c>
    </row>
    <row r="11" spans="1:46" ht="11.25" customHeight="1">
      <c r="A11" s="8">
        <v>5</v>
      </c>
      <c r="B11" s="8">
        <v>31</v>
      </c>
      <c r="C11" s="8"/>
      <c r="D11" s="346">
        <v>3</v>
      </c>
      <c r="E11" s="17">
        <f>VLOOKUP(D11,'A13 - Tabelle'!$A$6:$F$13,6)</f>
        <v>51730.799999999996</v>
      </c>
      <c r="F11" s="17">
        <f>VLOOKUP(D11,'A13 - Tabelle'!$A$6:$G$13,7)</f>
        <v>38986.4</v>
      </c>
      <c r="G11" s="18">
        <f t="shared" si="0"/>
        <v>36466.4</v>
      </c>
      <c r="H11" s="19"/>
      <c r="I11" s="16">
        <v>4</v>
      </c>
      <c r="J11" s="17">
        <f>VLOOKUP(I11,'E13 - Tabelle'!$A$7:$L$19,11)</f>
        <v>58944.37500000001</v>
      </c>
      <c r="K11" s="20">
        <f>VLOOKUP(I11,'E13 - Tabelle'!$A$7:$L$19,12)</f>
        <v>32798.08</v>
      </c>
      <c r="L11" s="28">
        <f t="shared" si="1"/>
        <v>-3668.3199999999997</v>
      </c>
      <c r="M11" s="32">
        <f t="shared" si="13"/>
        <v>-16379.479999999989</v>
      </c>
      <c r="N11" s="8">
        <v>5</v>
      </c>
      <c r="O11" s="8">
        <v>31</v>
      </c>
      <c r="P11" s="47"/>
      <c r="Q11" s="47"/>
      <c r="R11" s="347"/>
      <c r="S11" s="197"/>
      <c r="T11" s="204"/>
      <c r="U11" s="370">
        <f t="shared" si="14"/>
        <v>1.6131465517241381</v>
      </c>
      <c r="V11" s="371"/>
      <c r="W11" s="68">
        <v>2</v>
      </c>
      <c r="X11" s="370">
        <f t="shared" si="2"/>
        <v>9.824062500000002</v>
      </c>
      <c r="Y11" s="68"/>
      <c r="Z11" s="372"/>
      <c r="AA11" s="197"/>
      <c r="AB11" s="204"/>
      <c r="AC11" s="205">
        <f t="shared" si="3"/>
        <v>323.025</v>
      </c>
      <c r="AD11" s="205">
        <f t="shared" si="3"/>
        <v>56.418749999999996</v>
      </c>
      <c r="AE11" s="205">
        <f t="shared" si="4"/>
        <v>73.68046875000002</v>
      </c>
      <c r="AF11" s="205">
        <f t="shared" si="4"/>
        <v>456.81890625000005</v>
      </c>
      <c r="AG11" s="205">
        <f t="shared" si="4"/>
        <v>316.8260156250001</v>
      </c>
      <c r="AH11" s="206">
        <f t="shared" si="5"/>
        <v>1226.769140625</v>
      </c>
      <c r="AI11" s="206">
        <f t="shared" si="6"/>
        <v>4912.031250000001</v>
      </c>
      <c r="AJ11" s="207">
        <f t="shared" si="7"/>
        <v>6138.8003906250015</v>
      </c>
      <c r="AK11" s="208"/>
      <c r="AL11" s="221">
        <f t="shared" si="8"/>
        <v>2733.1733333333336</v>
      </c>
      <c r="AM11" s="222">
        <f t="shared" si="9"/>
        <v>3405.627057291668</v>
      </c>
      <c r="AN11" s="208"/>
      <c r="AO11" s="227">
        <f t="shared" si="10"/>
        <v>323.025</v>
      </c>
      <c r="AP11" s="227">
        <f t="shared" si="10"/>
        <v>56.418749999999996</v>
      </c>
      <c r="AQ11" s="205">
        <f t="shared" si="11"/>
        <v>73.68046875000002</v>
      </c>
      <c r="AR11" s="205">
        <f t="shared" si="11"/>
        <v>456.81890625000005</v>
      </c>
      <c r="AS11" s="205">
        <f t="shared" si="11"/>
        <v>88.90776562500002</v>
      </c>
      <c r="AT11" s="231">
        <f t="shared" si="12"/>
        <v>998.850890625</v>
      </c>
    </row>
    <row r="12" spans="1:46" ht="11.25" customHeight="1">
      <c r="A12" s="8">
        <v>6</v>
      </c>
      <c r="B12" s="8">
        <v>32</v>
      </c>
      <c r="C12" s="8"/>
      <c r="D12" s="346">
        <v>3</v>
      </c>
      <c r="E12" s="17">
        <f>VLOOKUP(D12,'A13 - Tabelle'!$A$6:$F$13,6)</f>
        <v>51730.799999999996</v>
      </c>
      <c r="F12" s="17">
        <f>VLOOKUP(D12,'A13 - Tabelle'!$A$6:$G$13,7)</f>
        <v>38986.4</v>
      </c>
      <c r="G12" s="18">
        <f t="shared" si="0"/>
        <v>36466.4</v>
      </c>
      <c r="H12" s="19"/>
      <c r="I12" s="16">
        <v>5</v>
      </c>
      <c r="J12" s="17">
        <f>VLOOKUP(I12,'E13 - Tabelle'!$A$7:$L$19,11)</f>
        <v>66242.875</v>
      </c>
      <c r="K12" s="20">
        <f>VLOOKUP(I12,'E13 - Tabelle'!$A$7:$L$19,12)</f>
        <v>35970.94</v>
      </c>
      <c r="L12" s="28">
        <f t="shared" si="1"/>
        <v>-495.4599999999991</v>
      </c>
      <c r="M12" s="32">
        <f t="shared" si="13"/>
        <v>-16874.939999999988</v>
      </c>
      <c r="N12" s="8">
        <v>6</v>
      </c>
      <c r="O12" s="8">
        <v>32</v>
      </c>
      <c r="P12" s="47"/>
      <c r="Q12" s="47"/>
      <c r="R12" s="347"/>
      <c r="S12" s="197"/>
      <c r="T12" s="204"/>
      <c r="U12" s="370">
        <f t="shared" si="14"/>
        <v>1.8128865626710455</v>
      </c>
      <c r="V12" s="371"/>
      <c r="W12" s="68">
        <v>1.9</v>
      </c>
      <c r="X12" s="370">
        <f t="shared" si="2"/>
        <v>10.488455208333331</v>
      </c>
      <c r="Y12" s="68"/>
      <c r="Z12" s="372"/>
      <c r="AA12" s="197"/>
      <c r="AB12" s="204"/>
      <c r="AC12" s="205">
        <f t="shared" si="3"/>
        <v>323.025</v>
      </c>
      <c r="AD12" s="205">
        <f t="shared" si="3"/>
        <v>56.418749999999996</v>
      </c>
      <c r="AE12" s="205">
        <f t="shared" si="4"/>
        <v>82.80359374999999</v>
      </c>
      <c r="AF12" s="205">
        <f t="shared" si="4"/>
        <v>513.38228125</v>
      </c>
      <c r="AG12" s="205">
        <f t="shared" si="4"/>
        <v>356.055453125</v>
      </c>
      <c r="AH12" s="206">
        <f t="shared" si="5"/>
        <v>1331.685078125</v>
      </c>
      <c r="AI12" s="206">
        <f t="shared" si="6"/>
        <v>5520.239583333333</v>
      </c>
      <c r="AJ12" s="207">
        <f t="shared" si="7"/>
        <v>6851.9246614583335</v>
      </c>
      <c r="AK12" s="208"/>
      <c r="AL12" s="221">
        <f t="shared" si="8"/>
        <v>2997.5783333333334</v>
      </c>
      <c r="AM12" s="222">
        <f t="shared" si="9"/>
        <v>3854.346328125</v>
      </c>
      <c r="AN12" s="208"/>
      <c r="AO12" s="227">
        <f t="shared" si="10"/>
        <v>323.025</v>
      </c>
      <c r="AP12" s="227">
        <f t="shared" si="10"/>
        <v>56.418749999999996</v>
      </c>
      <c r="AQ12" s="205">
        <f t="shared" si="11"/>
        <v>82.80359374999999</v>
      </c>
      <c r="AR12" s="205">
        <f t="shared" si="11"/>
        <v>513.38228125</v>
      </c>
      <c r="AS12" s="205">
        <f t="shared" si="11"/>
        <v>99.91633645833333</v>
      </c>
      <c r="AT12" s="231">
        <f t="shared" si="12"/>
        <v>1075.5459614583333</v>
      </c>
    </row>
    <row r="13" spans="1:46" ht="11.25" customHeight="1">
      <c r="A13" s="8">
        <v>7</v>
      </c>
      <c r="B13" s="8">
        <v>33</v>
      </c>
      <c r="C13" s="8"/>
      <c r="D13" s="346">
        <v>3</v>
      </c>
      <c r="E13" s="17">
        <f>VLOOKUP(D13,'A13 - Tabelle'!$A$6:$F$13,6)</f>
        <v>51730.799999999996</v>
      </c>
      <c r="F13" s="17">
        <f>VLOOKUP(D13,'A13 - Tabelle'!$A$6:$G$13,7)</f>
        <v>38986.4</v>
      </c>
      <c r="G13" s="18">
        <f t="shared" si="0"/>
        <v>36466.4</v>
      </c>
      <c r="H13" s="19"/>
      <c r="I13" s="346">
        <v>5</v>
      </c>
      <c r="J13" s="17">
        <f>VLOOKUP(I13,'E13 - Tabelle'!$A$7:$L$19,11)</f>
        <v>66242.875</v>
      </c>
      <c r="K13" s="20">
        <f>VLOOKUP(I13,'E13 - Tabelle'!$A$7:$L$19,12)</f>
        <v>35970.94</v>
      </c>
      <c r="L13" s="28">
        <f t="shared" si="1"/>
        <v>-495.4599999999991</v>
      </c>
      <c r="M13" s="32">
        <f t="shared" si="13"/>
        <v>-17370.399999999987</v>
      </c>
      <c r="N13" s="8">
        <v>7</v>
      </c>
      <c r="O13" s="8">
        <v>33</v>
      </c>
      <c r="P13" s="47"/>
      <c r="Q13" s="47"/>
      <c r="R13" s="347"/>
      <c r="S13" s="197"/>
      <c r="T13" s="204"/>
      <c r="U13" s="370">
        <f t="shared" si="14"/>
        <v>1.8128865626710455</v>
      </c>
      <c r="V13" s="371"/>
      <c r="W13" s="68">
        <v>1.9</v>
      </c>
      <c r="X13" s="370">
        <f t="shared" si="2"/>
        <v>10.488455208333331</v>
      </c>
      <c r="Y13" s="68"/>
      <c r="Z13" s="372"/>
      <c r="AA13" s="197"/>
      <c r="AB13" s="204"/>
      <c r="AC13" s="205">
        <f t="shared" si="3"/>
        <v>323.025</v>
      </c>
      <c r="AD13" s="205">
        <f t="shared" si="3"/>
        <v>56.418749999999996</v>
      </c>
      <c r="AE13" s="205">
        <f t="shared" si="4"/>
        <v>82.80359374999999</v>
      </c>
      <c r="AF13" s="205">
        <f t="shared" si="4"/>
        <v>513.38228125</v>
      </c>
      <c r="AG13" s="205">
        <f t="shared" si="4"/>
        <v>356.055453125</v>
      </c>
      <c r="AH13" s="206">
        <f t="shared" si="5"/>
        <v>1331.685078125</v>
      </c>
      <c r="AI13" s="206">
        <f t="shared" si="6"/>
        <v>5520.239583333333</v>
      </c>
      <c r="AJ13" s="207">
        <f t="shared" si="7"/>
        <v>6851.9246614583335</v>
      </c>
      <c r="AK13" s="208"/>
      <c r="AL13" s="221">
        <f t="shared" si="8"/>
        <v>2997.5783333333334</v>
      </c>
      <c r="AM13" s="222">
        <f t="shared" si="9"/>
        <v>3854.346328125</v>
      </c>
      <c r="AN13" s="208"/>
      <c r="AO13" s="227">
        <f t="shared" si="10"/>
        <v>323.025</v>
      </c>
      <c r="AP13" s="227">
        <f t="shared" si="10"/>
        <v>56.418749999999996</v>
      </c>
      <c r="AQ13" s="205">
        <f t="shared" si="11"/>
        <v>82.80359374999999</v>
      </c>
      <c r="AR13" s="205">
        <f t="shared" si="11"/>
        <v>513.38228125</v>
      </c>
      <c r="AS13" s="205">
        <f t="shared" si="11"/>
        <v>99.91633645833333</v>
      </c>
      <c r="AT13" s="231">
        <f t="shared" si="12"/>
        <v>1075.5459614583333</v>
      </c>
    </row>
    <row r="14" spans="1:46" ht="11.25" customHeight="1">
      <c r="A14" s="8">
        <v>8</v>
      </c>
      <c r="B14" s="8">
        <v>34</v>
      </c>
      <c r="C14" s="8"/>
      <c r="D14" s="346">
        <v>4</v>
      </c>
      <c r="E14" s="17">
        <f>VLOOKUP(D14,'A13 - Tabelle'!$A$6:$F$13,6)</f>
        <v>54066.240000000005</v>
      </c>
      <c r="F14" s="17">
        <f>VLOOKUP(D14,'A13 - Tabelle'!$A$6:$G$13,7)</f>
        <v>40332.25</v>
      </c>
      <c r="G14" s="18">
        <f t="shared" si="0"/>
        <v>37812.25</v>
      </c>
      <c r="H14" s="19"/>
      <c r="I14" s="346">
        <v>5</v>
      </c>
      <c r="J14" s="17">
        <f>VLOOKUP(I14,'E13 - Tabelle'!$A$7:$L$19,11)</f>
        <v>66242.875</v>
      </c>
      <c r="K14" s="20">
        <f>VLOOKUP(I14,'E13 - Tabelle'!$A$7:$L$19,12)</f>
        <v>35970.94</v>
      </c>
      <c r="L14" s="28">
        <f t="shared" si="1"/>
        <v>-1841.3099999999977</v>
      </c>
      <c r="M14" s="32">
        <f t="shared" si="13"/>
        <v>-19211.709999999985</v>
      </c>
      <c r="N14" s="8">
        <v>8</v>
      </c>
      <c r="O14" s="8">
        <v>34</v>
      </c>
      <c r="P14" s="47"/>
      <c r="Q14" s="47"/>
      <c r="R14" s="347"/>
      <c r="S14" s="197"/>
      <c r="T14" s="204"/>
      <c r="U14" s="370">
        <f t="shared" si="14"/>
        <v>1.8128865626710455</v>
      </c>
      <c r="V14" s="371"/>
      <c r="W14" s="68">
        <v>1.8</v>
      </c>
      <c r="X14" s="370">
        <f t="shared" si="2"/>
        <v>9.93643125</v>
      </c>
      <c r="Y14" s="68"/>
      <c r="Z14" s="372"/>
      <c r="AA14" s="197"/>
      <c r="AB14" s="204"/>
      <c r="AC14" s="205">
        <f t="shared" si="3"/>
        <v>323.025</v>
      </c>
      <c r="AD14" s="205">
        <f t="shared" si="3"/>
        <v>56.418749999999996</v>
      </c>
      <c r="AE14" s="205">
        <f t="shared" si="4"/>
        <v>82.80359374999999</v>
      </c>
      <c r="AF14" s="205">
        <f t="shared" si="4"/>
        <v>513.38228125</v>
      </c>
      <c r="AG14" s="205">
        <f t="shared" si="4"/>
        <v>356.055453125</v>
      </c>
      <c r="AH14" s="206">
        <f t="shared" si="5"/>
        <v>1331.685078125</v>
      </c>
      <c r="AI14" s="206">
        <f t="shared" si="6"/>
        <v>5520.239583333333</v>
      </c>
      <c r="AJ14" s="207">
        <f t="shared" si="7"/>
        <v>6851.9246614583335</v>
      </c>
      <c r="AK14" s="208"/>
      <c r="AL14" s="221">
        <f t="shared" si="8"/>
        <v>2997.5783333333334</v>
      </c>
      <c r="AM14" s="222">
        <f t="shared" si="9"/>
        <v>3854.346328125</v>
      </c>
      <c r="AN14" s="208"/>
      <c r="AO14" s="227">
        <f t="shared" si="10"/>
        <v>323.025</v>
      </c>
      <c r="AP14" s="227">
        <f t="shared" si="10"/>
        <v>56.418749999999996</v>
      </c>
      <c r="AQ14" s="205">
        <f t="shared" si="11"/>
        <v>82.80359374999999</v>
      </c>
      <c r="AR14" s="205">
        <f t="shared" si="11"/>
        <v>513.38228125</v>
      </c>
      <c r="AS14" s="205">
        <f t="shared" si="11"/>
        <v>99.91633645833333</v>
      </c>
      <c r="AT14" s="231">
        <f t="shared" si="12"/>
        <v>1075.5459614583333</v>
      </c>
    </row>
    <row r="15" spans="1:46" ht="11.25" customHeight="1">
      <c r="A15" s="8">
        <v>9</v>
      </c>
      <c r="B15" s="8">
        <v>35</v>
      </c>
      <c r="C15" s="8"/>
      <c r="D15" s="346">
        <v>4</v>
      </c>
      <c r="E15" s="17">
        <f>VLOOKUP(D15,'A13 - Tabelle'!$A$6:$F$13,6)</f>
        <v>54066.240000000005</v>
      </c>
      <c r="F15" s="17">
        <f>VLOOKUP(D15,'A13 - Tabelle'!$A$6:$G$13,7)</f>
        <v>40332.25</v>
      </c>
      <c r="G15" s="18">
        <f t="shared" si="0"/>
        <v>37812.25</v>
      </c>
      <c r="H15" s="19"/>
      <c r="I15" s="346">
        <v>6</v>
      </c>
      <c r="J15" s="17">
        <f>VLOOKUP(I15,'E13 - Tabelle'!$A$7:$L$19,11)</f>
        <v>68230.125</v>
      </c>
      <c r="K15" s="20">
        <f>VLOOKUP(I15,'E13 - Tabelle'!$A$7:$L$19,12)</f>
        <v>36819.16</v>
      </c>
      <c r="L15" s="28">
        <f t="shared" si="1"/>
        <v>-993.0899999999965</v>
      </c>
      <c r="M15" s="32">
        <f t="shared" si="13"/>
        <v>-20204.79999999998</v>
      </c>
      <c r="N15" s="8">
        <v>9</v>
      </c>
      <c r="O15" s="8">
        <v>35</v>
      </c>
      <c r="P15" s="47"/>
      <c r="Q15" s="47"/>
      <c r="R15" s="347"/>
      <c r="S15" s="197"/>
      <c r="T15" s="204"/>
      <c r="U15" s="370">
        <f t="shared" si="14"/>
        <v>1.8672721674876847</v>
      </c>
      <c r="V15" s="371"/>
      <c r="W15" s="68">
        <v>1.7</v>
      </c>
      <c r="X15" s="370">
        <f t="shared" si="2"/>
        <v>9.665934374999999</v>
      </c>
      <c r="Y15" s="68"/>
      <c r="Z15" s="372"/>
      <c r="AA15" s="197"/>
      <c r="AB15" s="204"/>
      <c r="AC15" s="205">
        <f t="shared" si="3"/>
        <v>323.025</v>
      </c>
      <c r="AD15" s="205">
        <f t="shared" si="3"/>
        <v>56.418749999999996</v>
      </c>
      <c r="AE15" s="205">
        <f t="shared" si="4"/>
        <v>85.28765625</v>
      </c>
      <c r="AF15" s="205">
        <f t="shared" si="4"/>
        <v>528.78346875</v>
      </c>
      <c r="AG15" s="205">
        <f t="shared" si="4"/>
        <v>366.736921875</v>
      </c>
      <c r="AH15" s="206">
        <f t="shared" si="5"/>
        <v>1360.2517968749999</v>
      </c>
      <c r="AI15" s="206">
        <f t="shared" si="6"/>
        <v>5685.84375</v>
      </c>
      <c r="AJ15" s="207">
        <f t="shared" si="7"/>
        <v>7046.095546875</v>
      </c>
      <c r="AK15" s="208"/>
      <c r="AL15" s="221">
        <f t="shared" si="8"/>
        <v>3068.263333333334</v>
      </c>
      <c r="AM15" s="222">
        <f t="shared" si="9"/>
        <v>3977.832213541666</v>
      </c>
      <c r="AN15" s="208"/>
      <c r="AO15" s="227">
        <f t="shared" si="10"/>
        <v>323.025</v>
      </c>
      <c r="AP15" s="227">
        <f t="shared" si="10"/>
        <v>56.418749999999996</v>
      </c>
      <c r="AQ15" s="205">
        <f t="shared" si="11"/>
        <v>85.28765625</v>
      </c>
      <c r="AR15" s="205">
        <f t="shared" si="11"/>
        <v>528.78346875</v>
      </c>
      <c r="AS15" s="205">
        <f t="shared" si="11"/>
        <v>102.91377187500001</v>
      </c>
      <c r="AT15" s="231">
        <f t="shared" si="12"/>
        <v>1096.428646875</v>
      </c>
    </row>
    <row r="16" spans="1:46" ht="11.25" customHeight="1">
      <c r="A16" s="8">
        <v>10</v>
      </c>
      <c r="B16" s="8">
        <v>36</v>
      </c>
      <c r="C16" s="8"/>
      <c r="D16" s="346">
        <v>4</v>
      </c>
      <c r="E16" s="17">
        <f>VLOOKUP(D16,'A13 - Tabelle'!$A$6:$F$13,6)</f>
        <v>54066.240000000005</v>
      </c>
      <c r="F16" s="17">
        <f>VLOOKUP(D16,'A13 - Tabelle'!$A$6:$G$13,7)</f>
        <v>40332.25</v>
      </c>
      <c r="G16" s="18">
        <f t="shared" si="0"/>
        <v>37812.25</v>
      </c>
      <c r="H16" s="19"/>
      <c r="I16" s="346">
        <v>6</v>
      </c>
      <c r="J16" s="17">
        <f>VLOOKUP(I16,'E13 - Tabelle'!$A$7:$L$19,11)</f>
        <v>68230.125</v>
      </c>
      <c r="K16" s="20">
        <f>VLOOKUP(I16,'E13 - Tabelle'!$A$7:$L$19,12)</f>
        <v>36819.16</v>
      </c>
      <c r="L16" s="28">
        <f t="shared" si="1"/>
        <v>-993.0899999999965</v>
      </c>
      <c r="M16" s="32">
        <f t="shared" si="13"/>
        <v>-21197.889999999978</v>
      </c>
      <c r="N16" s="8">
        <v>10</v>
      </c>
      <c r="O16" s="8">
        <v>36</v>
      </c>
      <c r="P16" s="47"/>
      <c r="Q16" s="47"/>
      <c r="R16" s="347"/>
      <c r="S16" s="197"/>
      <c r="T16" s="204"/>
      <c r="U16" s="370">
        <f t="shared" si="14"/>
        <v>1.8672721674876847</v>
      </c>
      <c r="V16" s="371"/>
      <c r="W16" s="68">
        <v>1.7</v>
      </c>
      <c r="X16" s="370">
        <f t="shared" si="2"/>
        <v>9.665934374999999</v>
      </c>
      <c r="Y16" s="68"/>
      <c r="Z16" s="372"/>
      <c r="AA16" s="197"/>
      <c r="AB16" s="204"/>
      <c r="AC16" s="205">
        <f t="shared" si="3"/>
        <v>323.025</v>
      </c>
      <c r="AD16" s="205">
        <f t="shared" si="3"/>
        <v>56.418749999999996</v>
      </c>
      <c r="AE16" s="205">
        <f t="shared" si="4"/>
        <v>85.28765625</v>
      </c>
      <c r="AF16" s="205">
        <f t="shared" si="4"/>
        <v>528.78346875</v>
      </c>
      <c r="AG16" s="205">
        <f t="shared" si="4"/>
        <v>366.736921875</v>
      </c>
      <c r="AH16" s="206">
        <f t="shared" si="5"/>
        <v>1360.2517968749999</v>
      </c>
      <c r="AI16" s="206">
        <f t="shared" si="6"/>
        <v>5685.84375</v>
      </c>
      <c r="AJ16" s="207">
        <f t="shared" si="7"/>
        <v>7046.095546875</v>
      </c>
      <c r="AK16" s="208"/>
      <c r="AL16" s="221">
        <f t="shared" si="8"/>
        <v>3068.263333333334</v>
      </c>
      <c r="AM16" s="222">
        <f t="shared" si="9"/>
        <v>3977.832213541666</v>
      </c>
      <c r="AN16" s="208"/>
      <c r="AO16" s="227">
        <f t="shared" si="10"/>
        <v>323.025</v>
      </c>
      <c r="AP16" s="227">
        <f t="shared" si="10"/>
        <v>56.418749999999996</v>
      </c>
      <c r="AQ16" s="205">
        <f t="shared" si="11"/>
        <v>85.28765625</v>
      </c>
      <c r="AR16" s="205">
        <f t="shared" si="11"/>
        <v>528.78346875</v>
      </c>
      <c r="AS16" s="205">
        <f t="shared" si="11"/>
        <v>102.91377187500001</v>
      </c>
      <c r="AT16" s="231">
        <f t="shared" si="12"/>
        <v>1096.428646875</v>
      </c>
    </row>
    <row r="17" spans="1:46" ht="11.25" customHeight="1">
      <c r="A17" s="8">
        <v>11</v>
      </c>
      <c r="B17" s="8">
        <v>37</v>
      </c>
      <c r="C17" s="8"/>
      <c r="D17" s="346">
        <v>5</v>
      </c>
      <c r="E17" s="17">
        <f>VLOOKUP(D17,'A13 - Tabelle'!$A$6:$F$13,6)</f>
        <v>56257.68000000001</v>
      </c>
      <c r="F17" s="17">
        <f>VLOOKUP(D17,'A13 - Tabelle'!$A$6:$G$13,7)</f>
        <v>41572.08</v>
      </c>
      <c r="G17" s="18">
        <f t="shared" si="0"/>
        <v>39052.08</v>
      </c>
      <c r="H17" s="19"/>
      <c r="I17" s="346">
        <v>6</v>
      </c>
      <c r="J17" s="17">
        <f>VLOOKUP(I17,'E13 - Tabelle'!$A$7:$L$19,11)</f>
        <v>68230.125</v>
      </c>
      <c r="K17" s="20">
        <f>VLOOKUP(I17,'E13 - Tabelle'!$A$7:$L$19,12)</f>
        <v>36819.16</v>
      </c>
      <c r="L17" s="29">
        <f t="shared" si="1"/>
        <v>-2232.9199999999983</v>
      </c>
      <c r="M17" s="32">
        <f t="shared" si="13"/>
        <v>-23430.809999999976</v>
      </c>
      <c r="N17" s="8">
        <v>11</v>
      </c>
      <c r="O17" s="8">
        <v>37</v>
      </c>
      <c r="P17" s="47"/>
      <c r="Q17" s="47"/>
      <c r="R17" s="347"/>
      <c r="S17" s="197"/>
      <c r="T17" s="204"/>
      <c r="U17" s="370">
        <f t="shared" si="14"/>
        <v>1.8672721674876847</v>
      </c>
      <c r="V17" s="371"/>
      <c r="W17" s="68">
        <v>1.6</v>
      </c>
      <c r="X17" s="370">
        <f t="shared" si="2"/>
        <v>9.09735</v>
      </c>
      <c r="Y17" s="68"/>
      <c r="Z17" s="372"/>
      <c r="AA17" s="197"/>
      <c r="AB17" s="204"/>
      <c r="AC17" s="205">
        <f t="shared" si="3"/>
        <v>323.025</v>
      </c>
      <c r="AD17" s="205">
        <f t="shared" si="3"/>
        <v>56.418749999999996</v>
      </c>
      <c r="AE17" s="205">
        <f t="shared" si="4"/>
        <v>85.28765625</v>
      </c>
      <c r="AF17" s="205">
        <f t="shared" si="4"/>
        <v>528.78346875</v>
      </c>
      <c r="AG17" s="205">
        <f t="shared" si="4"/>
        <v>366.736921875</v>
      </c>
      <c r="AH17" s="206">
        <f t="shared" si="5"/>
        <v>1360.2517968749999</v>
      </c>
      <c r="AI17" s="206">
        <f t="shared" si="6"/>
        <v>5685.84375</v>
      </c>
      <c r="AJ17" s="207">
        <f t="shared" si="7"/>
        <v>7046.095546875</v>
      </c>
      <c r="AK17" s="208"/>
      <c r="AL17" s="221">
        <f t="shared" si="8"/>
        <v>3068.263333333334</v>
      </c>
      <c r="AM17" s="222">
        <f t="shared" si="9"/>
        <v>3977.832213541666</v>
      </c>
      <c r="AN17" s="208"/>
      <c r="AO17" s="227">
        <f t="shared" si="10"/>
        <v>323.025</v>
      </c>
      <c r="AP17" s="227">
        <f t="shared" si="10"/>
        <v>56.418749999999996</v>
      </c>
      <c r="AQ17" s="205">
        <f t="shared" si="11"/>
        <v>85.28765625</v>
      </c>
      <c r="AR17" s="205">
        <f t="shared" si="11"/>
        <v>528.78346875</v>
      </c>
      <c r="AS17" s="205">
        <f t="shared" si="11"/>
        <v>102.91377187500001</v>
      </c>
      <c r="AT17" s="231">
        <f t="shared" si="12"/>
        <v>1096.428646875</v>
      </c>
    </row>
    <row r="18" spans="1:46" ht="11.25" customHeight="1">
      <c r="A18" s="8">
        <v>12</v>
      </c>
      <c r="B18" s="8">
        <v>38</v>
      </c>
      <c r="C18" s="8"/>
      <c r="D18" s="346">
        <v>5</v>
      </c>
      <c r="E18" s="17">
        <f>VLOOKUP(D18,'A13 - Tabelle'!$A$6:$F$13,6)</f>
        <v>56257.68000000001</v>
      </c>
      <c r="F18" s="17">
        <f>VLOOKUP(D18,'A13 - Tabelle'!$A$6:$G$13,7)</f>
        <v>41572.08</v>
      </c>
      <c r="G18" s="18">
        <f t="shared" si="0"/>
        <v>39052.08</v>
      </c>
      <c r="H18" s="19"/>
      <c r="I18" s="346">
        <v>7</v>
      </c>
      <c r="J18" s="17">
        <f>VLOOKUP(I18,'E13 - Tabelle'!$A$7:$L$19,11)</f>
        <v>78419.52500000001</v>
      </c>
      <c r="K18" s="20">
        <f>VLOOKUP(I18,'E13 - Tabelle'!$A$7:$L$19,12)</f>
        <v>41114.22</v>
      </c>
      <c r="L18" s="29">
        <f t="shared" si="1"/>
        <v>2062.1399999999994</v>
      </c>
      <c r="M18" s="32">
        <f t="shared" si="13"/>
        <v>-21368.669999999976</v>
      </c>
      <c r="N18" s="8">
        <v>12</v>
      </c>
      <c r="O18" s="8">
        <v>38</v>
      </c>
      <c r="P18" s="47"/>
      <c r="Q18" s="47"/>
      <c r="R18" s="347"/>
      <c r="S18" s="197"/>
      <c r="T18" s="204"/>
      <c r="U18" s="370">
        <f t="shared" si="14"/>
        <v>2.1461282156540777</v>
      </c>
      <c r="V18" s="371"/>
      <c r="W18" s="68">
        <v>1.6</v>
      </c>
      <c r="X18" s="370">
        <f t="shared" si="2"/>
        <v>10.455936666666668</v>
      </c>
      <c r="Y18" s="68"/>
      <c r="Z18" s="372"/>
      <c r="AA18" s="197"/>
      <c r="AB18" s="204"/>
      <c r="AC18" s="205">
        <f t="shared" si="3"/>
        <v>323.025</v>
      </c>
      <c r="AD18" s="205">
        <f t="shared" si="3"/>
        <v>56.418749999999996</v>
      </c>
      <c r="AE18" s="205">
        <f t="shared" si="4"/>
        <v>98.02440625000001</v>
      </c>
      <c r="AF18" s="205">
        <f t="shared" si="4"/>
        <v>607.7513187500001</v>
      </c>
      <c r="AG18" s="205">
        <f t="shared" si="4"/>
        <v>421.5049468750001</v>
      </c>
      <c r="AH18" s="206">
        <f t="shared" si="5"/>
        <v>1506.7244218750002</v>
      </c>
      <c r="AI18" s="206">
        <f t="shared" si="6"/>
        <v>6534.960416666668</v>
      </c>
      <c r="AJ18" s="207">
        <f t="shared" si="7"/>
        <v>8041.684838541668</v>
      </c>
      <c r="AK18" s="208"/>
      <c r="AL18" s="221">
        <f t="shared" si="8"/>
        <v>3426.185</v>
      </c>
      <c r="AM18" s="222">
        <f t="shared" si="9"/>
        <v>4615.4998385416675</v>
      </c>
      <c r="AN18" s="208"/>
      <c r="AO18" s="227">
        <f t="shared" si="10"/>
        <v>323.025</v>
      </c>
      <c r="AP18" s="227">
        <f t="shared" si="10"/>
        <v>56.418749999999996</v>
      </c>
      <c r="AQ18" s="205">
        <f t="shared" si="11"/>
        <v>98.02440625000001</v>
      </c>
      <c r="AR18" s="205">
        <f t="shared" si="11"/>
        <v>607.7513187500001</v>
      </c>
      <c r="AS18" s="205">
        <f t="shared" si="11"/>
        <v>118.28278354166669</v>
      </c>
      <c r="AT18" s="231">
        <f t="shared" si="12"/>
        <v>1203.5022585416668</v>
      </c>
    </row>
    <row r="19" spans="1:46" ht="11.25" customHeight="1">
      <c r="A19" s="8">
        <v>13</v>
      </c>
      <c r="B19" s="8">
        <v>39</v>
      </c>
      <c r="C19" s="8"/>
      <c r="D19" s="346">
        <v>5</v>
      </c>
      <c r="E19" s="17">
        <f>VLOOKUP(D19,'A13 - Tabelle'!$A$6:$F$13,6)</f>
        <v>56257.68000000001</v>
      </c>
      <c r="F19" s="17">
        <f>VLOOKUP(D19,'A13 - Tabelle'!$A$6:$G$13,7)</f>
        <v>41572.08</v>
      </c>
      <c r="G19" s="18">
        <f t="shared" si="0"/>
        <v>39052.08</v>
      </c>
      <c r="H19" s="19"/>
      <c r="I19" s="346">
        <v>7</v>
      </c>
      <c r="J19" s="17">
        <f>VLOOKUP(I19,'E13 - Tabelle'!$A$7:$L$19,11)</f>
        <v>78419.52500000001</v>
      </c>
      <c r="K19" s="20">
        <f>VLOOKUP(I19,'E13 - Tabelle'!$A$7:$L$19,12)</f>
        <v>41114.22</v>
      </c>
      <c r="L19" s="28">
        <f t="shared" si="1"/>
        <v>2062.1399999999994</v>
      </c>
      <c r="M19" s="32">
        <f t="shared" si="13"/>
        <v>-19306.529999999977</v>
      </c>
      <c r="N19" s="8">
        <v>13</v>
      </c>
      <c r="O19" s="8">
        <v>39</v>
      </c>
      <c r="P19" s="47"/>
      <c r="Q19" s="47"/>
      <c r="R19" s="347"/>
      <c r="S19" s="197"/>
      <c r="T19" s="204"/>
      <c r="U19" s="370">
        <f t="shared" si="14"/>
        <v>2.1461282156540777</v>
      </c>
      <c r="V19" s="371"/>
      <c r="W19" s="68">
        <v>1.6</v>
      </c>
      <c r="X19" s="370">
        <f t="shared" si="2"/>
        <v>10.455936666666668</v>
      </c>
      <c r="Y19" s="68"/>
      <c r="Z19" s="372"/>
      <c r="AA19" s="197"/>
      <c r="AB19" s="204"/>
      <c r="AC19" s="205">
        <f t="shared" si="3"/>
        <v>323.025</v>
      </c>
      <c r="AD19" s="205">
        <f t="shared" si="3"/>
        <v>56.418749999999996</v>
      </c>
      <c r="AE19" s="205">
        <f t="shared" si="4"/>
        <v>98.02440625000001</v>
      </c>
      <c r="AF19" s="205">
        <f t="shared" si="4"/>
        <v>607.7513187500001</v>
      </c>
      <c r="AG19" s="205">
        <f t="shared" si="4"/>
        <v>421.5049468750001</v>
      </c>
      <c r="AH19" s="206">
        <f t="shared" si="5"/>
        <v>1506.7244218750002</v>
      </c>
      <c r="AI19" s="206">
        <f t="shared" si="6"/>
        <v>6534.960416666668</v>
      </c>
      <c r="AJ19" s="207">
        <f t="shared" si="7"/>
        <v>8041.684838541668</v>
      </c>
      <c r="AK19" s="208"/>
      <c r="AL19" s="221">
        <f t="shared" si="8"/>
        <v>3426.185</v>
      </c>
      <c r="AM19" s="222">
        <f t="shared" si="9"/>
        <v>4615.4998385416675</v>
      </c>
      <c r="AN19" s="208"/>
      <c r="AO19" s="227">
        <f t="shared" si="10"/>
        <v>323.025</v>
      </c>
      <c r="AP19" s="227">
        <f t="shared" si="10"/>
        <v>56.418749999999996</v>
      </c>
      <c r="AQ19" s="205">
        <f t="shared" si="11"/>
        <v>98.02440625000001</v>
      </c>
      <c r="AR19" s="205">
        <f t="shared" si="11"/>
        <v>607.7513187500001</v>
      </c>
      <c r="AS19" s="205">
        <f t="shared" si="11"/>
        <v>118.28278354166669</v>
      </c>
      <c r="AT19" s="231">
        <f t="shared" si="12"/>
        <v>1203.5022585416668</v>
      </c>
    </row>
    <row r="20" spans="1:46" ht="11.25" customHeight="1">
      <c r="A20" s="8">
        <v>14</v>
      </c>
      <c r="B20" s="8">
        <v>40</v>
      </c>
      <c r="C20" s="8"/>
      <c r="D20" s="346">
        <v>5</v>
      </c>
      <c r="E20" s="17">
        <f>VLOOKUP(D20,'A13 - Tabelle'!$A$6:$F$13,6)</f>
        <v>56257.68000000001</v>
      </c>
      <c r="F20" s="17">
        <f>VLOOKUP(D20,'A13 - Tabelle'!$A$6:$G$13,7)</f>
        <v>41572.08</v>
      </c>
      <c r="G20" s="18">
        <f t="shared" si="0"/>
        <v>39052.08</v>
      </c>
      <c r="H20" s="19"/>
      <c r="I20" s="346">
        <v>7</v>
      </c>
      <c r="J20" s="17">
        <f>VLOOKUP(I20,'E13 - Tabelle'!$A$7:$L$19,11)</f>
        <v>78419.52500000001</v>
      </c>
      <c r="K20" s="20">
        <f>VLOOKUP(I20,'E13 - Tabelle'!$A$7:$L$19,12)</f>
        <v>41114.22</v>
      </c>
      <c r="L20" s="28">
        <f t="shared" si="1"/>
        <v>2062.1399999999994</v>
      </c>
      <c r="M20" s="32">
        <f t="shared" si="13"/>
        <v>-17244.389999999978</v>
      </c>
      <c r="N20" s="8">
        <v>14</v>
      </c>
      <c r="O20" s="8">
        <v>40</v>
      </c>
      <c r="P20" s="47"/>
      <c r="Q20" s="47"/>
      <c r="R20" s="347"/>
      <c r="S20" s="197"/>
      <c r="T20" s="204"/>
      <c r="U20" s="370">
        <f t="shared" si="14"/>
        <v>2.1461282156540777</v>
      </c>
      <c r="V20" s="371"/>
      <c r="W20" s="68">
        <v>1.5</v>
      </c>
      <c r="X20" s="370">
        <f t="shared" si="2"/>
        <v>9.802440625000001</v>
      </c>
      <c r="Y20" s="68"/>
      <c r="Z20" s="372"/>
      <c r="AA20" s="197"/>
      <c r="AB20" s="204"/>
      <c r="AC20" s="205">
        <f t="shared" si="3"/>
        <v>323.025</v>
      </c>
      <c r="AD20" s="205">
        <f t="shared" si="3"/>
        <v>56.418749999999996</v>
      </c>
      <c r="AE20" s="205">
        <f t="shared" si="4"/>
        <v>98.02440625000001</v>
      </c>
      <c r="AF20" s="205">
        <f t="shared" si="4"/>
        <v>607.7513187500001</v>
      </c>
      <c r="AG20" s="205">
        <f t="shared" si="4"/>
        <v>421.5049468750001</v>
      </c>
      <c r="AH20" s="206">
        <f t="shared" si="5"/>
        <v>1506.7244218750002</v>
      </c>
      <c r="AI20" s="206">
        <f t="shared" si="6"/>
        <v>6534.960416666668</v>
      </c>
      <c r="AJ20" s="207">
        <f t="shared" si="7"/>
        <v>8041.684838541668</v>
      </c>
      <c r="AK20" s="208"/>
      <c r="AL20" s="221">
        <f t="shared" si="8"/>
        <v>3426.185</v>
      </c>
      <c r="AM20" s="222">
        <f t="shared" si="9"/>
        <v>4615.4998385416675</v>
      </c>
      <c r="AN20" s="208"/>
      <c r="AO20" s="227">
        <f t="shared" si="10"/>
        <v>323.025</v>
      </c>
      <c r="AP20" s="227">
        <f t="shared" si="10"/>
        <v>56.418749999999996</v>
      </c>
      <c r="AQ20" s="205">
        <f t="shared" si="11"/>
        <v>98.02440625000001</v>
      </c>
      <c r="AR20" s="205">
        <f t="shared" si="11"/>
        <v>607.7513187500001</v>
      </c>
      <c r="AS20" s="205">
        <f t="shared" si="11"/>
        <v>118.28278354166669</v>
      </c>
      <c r="AT20" s="231">
        <f t="shared" si="12"/>
        <v>1203.5022585416668</v>
      </c>
    </row>
    <row r="21" spans="1:46" ht="11.25" customHeight="1">
      <c r="A21" s="8">
        <v>15</v>
      </c>
      <c r="B21" s="8">
        <v>41</v>
      </c>
      <c r="C21" s="8"/>
      <c r="D21" s="346">
        <v>6</v>
      </c>
      <c r="E21" s="17">
        <f>VLOOKUP(D21,'A13 - Tabelle'!$A$6:$F$13,6)</f>
        <v>57295.799999999996</v>
      </c>
      <c r="F21" s="17">
        <f>VLOOKUP(D21,'A13 - Tabelle'!$A$6:$G$13,7)</f>
        <v>42151.28</v>
      </c>
      <c r="G21" s="18">
        <f t="shared" si="0"/>
        <v>39631.28</v>
      </c>
      <c r="H21" s="19"/>
      <c r="I21" s="346">
        <v>7</v>
      </c>
      <c r="J21" s="17">
        <f>VLOOKUP(I21,'E13 - Tabelle'!$A$7:$L$19,11)</f>
        <v>78419.52500000001</v>
      </c>
      <c r="K21" s="20">
        <f>VLOOKUP(I21,'E13 - Tabelle'!$A$7:$L$19,12)</f>
        <v>41114.22</v>
      </c>
      <c r="L21" s="28">
        <f t="shared" si="1"/>
        <v>1482.9400000000023</v>
      </c>
      <c r="M21" s="32">
        <f t="shared" si="13"/>
        <v>-15761.449999999975</v>
      </c>
      <c r="N21" s="8">
        <v>15</v>
      </c>
      <c r="O21" s="8">
        <v>41</v>
      </c>
      <c r="P21" s="47"/>
      <c r="Q21" s="47"/>
      <c r="R21" s="347"/>
      <c r="S21" s="197"/>
      <c r="T21" s="204"/>
      <c r="U21" s="370">
        <f t="shared" si="14"/>
        <v>2.1461282156540777</v>
      </c>
      <c r="V21" s="371"/>
      <c r="W21" s="68">
        <v>1.5</v>
      </c>
      <c r="X21" s="370">
        <f t="shared" si="2"/>
        <v>9.802440625000001</v>
      </c>
      <c r="Y21" s="68"/>
      <c r="Z21" s="372"/>
      <c r="AA21" s="197"/>
      <c r="AB21" s="204"/>
      <c r="AC21" s="205">
        <f t="shared" si="3"/>
        <v>323.025</v>
      </c>
      <c r="AD21" s="205">
        <f t="shared" si="3"/>
        <v>56.418749999999996</v>
      </c>
      <c r="AE21" s="205">
        <f t="shared" si="4"/>
        <v>98.02440625000001</v>
      </c>
      <c r="AF21" s="205">
        <f t="shared" si="4"/>
        <v>607.7513187500001</v>
      </c>
      <c r="AG21" s="205">
        <f t="shared" si="4"/>
        <v>421.5049468750001</v>
      </c>
      <c r="AH21" s="206">
        <f t="shared" si="5"/>
        <v>1506.7244218750002</v>
      </c>
      <c r="AI21" s="206">
        <f t="shared" si="6"/>
        <v>6534.960416666668</v>
      </c>
      <c r="AJ21" s="207">
        <f t="shared" si="7"/>
        <v>8041.684838541668</v>
      </c>
      <c r="AK21" s="208"/>
      <c r="AL21" s="221">
        <f t="shared" si="8"/>
        <v>3426.185</v>
      </c>
      <c r="AM21" s="222">
        <f t="shared" si="9"/>
        <v>4615.4998385416675</v>
      </c>
      <c r="AN21" s="208"/>
      <c r="AO21" s="227">
        <f t="shared" si="10"/>
        <v>323.025</v>
      </c>
      <c r="AP21" s="227">
        <f t="shared" si="10"/>
        <v>56.418749999999996</v>
      </c>
      <c r="AQ21" s="205">
        <f t="shared" si="11"/>
        <v>98.02440625000001</v>
      </c>
      <c r="AR21" s="205">
        <f t="shared" si="11"/>
        <v>607.7513187500001</v>
      </c>
      <c r="AS21" s="205">
        <f t="shared" si="11"/>
        <v>118.28278354166669</v>
      </c>
      <c r="AT21" s="231">
        <f t="shared" si="12"/>
        <v>1203.5022585416668</v>
      </c>
    </row>
    <row r="22" spans="1:46" ht="11.25" customHeight="1">
      <c r="A22" s="8">
        <v>16</v>
      </c>
      <c r="B22" s="8">
        <v>42</v>
      </c>
      <c r="C22" s="8"/>
      <c r="D22" s="346">
        <v>6</v>
      </c>
      <c r="E22" s="17">
        <f>VLOOKUP(D22,'A13 - Tabelle'!$A$6:$F$13,6)</f>
        <v>57295.799999999996</v>
      </c>
      <c r="F22" s="17">
        <f>VLOOKUP(D22,'A13 - Tabelle'!$A$6:$G$13,7)</f>
        <v>42151.28</v>
      </c>
      <c r="G22" s="18">
        <f t="shared" si="0"/>
        <v>39631.28</v>
      </c>
      <c r="H22" s="19"/>
      <c r="I22" s="346">
        <v>7</v>
      </c>
      <c r="J22" s="17">
        <f>VLOOKUP(I22,'E13 - Tabelle'!$A$7:$L$19,11)</f>
        <v>78419.52500000001</v>
      </c>
      <c r="K22" s="20">
        <f>VLOOKUP(I22,'E13 - Tabelle'!$A$7:$L$19,12)</f>
        <v>41114.22</v>
      </c>
      <c r="L22" s="28">
        <f>K22-G22</f>
        <v>1482.9400000000023</v>
      </c>
      <c r="M22" s="32">
        <f t="shared" si="13"/>
        <v>-14278.509999999973</v>
      </c>
      <c r="N22" s="8">
        <v>16</v>
      </c>
      <c r="O22" s="8">
        <v>42</v>
      </c>
      <c r="P22" s="47"/>
      <c r="Q22" s="47"/>
      <c r="R22" s="347"/>
      <c r="S22" s="197"/>
      <c r="T22" s="204"/>
      <c r="U22" s="370">
        <f t="shared" si="14"/>
        <v>2.1461282156540777</v>
      </c>
      <c r="V22" s="371"/>
      <c r="W22" s="68">
        <v>1.4</v>
      </c>
      <c r="X22" s="370">
        <f t="shared" si="2"/>
        <v>9.148944583333334</v>
      </c>
      <c r="Y22" s="68"/>
      <c r="Z22" s="372"/>
      <c r="AA22" s="197"/>
      <c r="AB22" s="204"/>
      <c r="AC22" s="205">
        <f t="shared" si="3"/>
        <v>323.025</v>
      </c>
      <c r="AD22" s="205">
        <f t="shared" si="3"/>
        <v>56.418749999999996</v>
      </c>
      <c r="AE22" s="205">
        <f t="shared" si="4"/>
        <v>98.02440625000001</v>
      </c>
      <c r="AF22" s="205">
        <f t="shared" si="4"/>
        <v>607.7513187500001</v>
      </c>
      <c r="AG22" s="205">
        <f t="shared" si="4"/>
        <v>421.5049468750001</v>
      </c>
      <c r="AH22" s="206">
        <f t="shared" si="5"/>
        <v>1506.7244218750002</v>
      </c>
      <c r="AI22" s="206">
        <f t="shared" si="6"/>
        <v>6534.960416666668</v>
      </c>
      <c r="AJ22" s="207">
        <f t="shared" si="7"/>
        <v>8041.684838541668</v>
      </c>
      <c r="AK22" s="208"/>
      <c r="AL22" s="221">
        <f t="shared" si="8"/>
        <v>3426.185</v>
      </c>
      <c r="AM22" s="222">
        <f t="shared" si="9"/>
        <v>4615.4998385416675</v>
      </c>
      <c r="AN22" s="208"/>
      <c r="AO22" s="227">
        <f t="shared" si="10"/>
        <v>323.025</v>
      </c>
      <c r="AP22" s="227">
        <f t="shared" si="10"/>
        <v>56.418749999999996</v>
      </c>
      <c r="AQ22" s="205">
        <f t="shared" si="11"/>
        <v>98.02440625000001</v>
      </c>
      <c r="AR22" s="205">
        <f t="shared" si="11"/>
        <v>607.7513187500001</v>
      </c>
      <c r="AS22" s="205">
        <f t="shared" si="11"/>
        <v>118.28278354166669</v>
      </c>
      <c r="AT22" s="231">
        <f t="shared" si="12"/>
        <v>1203.5022585416668</v>
      </c>
    </row>
    <row r="23" spans="1:46" ht="11.25" customHeight="1">
      <c r="A23" s="8">
        <v>17</v>
      </c>
      <c r="B23" s="8">
        <v>43</v>
      </c>
      <c r="C23" s="8"/>
      <c r="D23" s="346">
        <v>6</v>
      </c>
      <c r="E23" s="17">
        <f>VLOOKUP(D23,'A13 - Tabelle'!$A$6:$F$13,6)</f>
        <v>57295.799999999996</v>
      </c>
      <c r="F23" s="17">
        <f>VLOOKUP(D23,'A13 - Tabelle'!$A$6:$G$13,7)</f>
        <v>42151.28</v>
      </c>
      <c r="G23" s="18">
        <f t="shared" si="0"/>
        <v>39631.28</v>
      </c>
      <c r="H23" s="19"/>
      <c r="I23" s="346">
        <v>7</v>
      </c>
      <c r="J23" s="17">
        <f>VLOOKUP(I23,'E13 - Tabelle'!$A$7:$L$19,11)</f>
        <v>78419.52500000001</v>
      </c>
      <c r="K23" s="20">
        <f>VLOOKUP(I23,'E13 - Tabelle'!$A$7:$L$19,12)</f>
        <v>41114.22</v>
      </c>
      <c r="L23" s="28">
        <f t="shared" si="1"/>
        <v>1482.9400000000023</v>
      </c>
      <c r="M23" s="32">
        <f t="shared" si="13"/>
        <v>-12795.56999999997</v>
      </c>
      <c r="N23" s="8">
        <v>17</v>
      </c>
      <c r="O23" s="8">
        <v>43</v>
      </c>
      <c r="P23" s="47"/>
      <c r="Q23" s="47"/>
      <c r="R23" s="347"/>
      <c r="S23" s="197"/>
      <c r="T23" s="204"/>
      <c r="U23" s="370">
        <f t="shared" si="14"/>
        <v>2.1461282156540777</v>
      </c>
      <c r="V23" s="371"/>
      <c r="W23" s="68">
        <v>1.4</v>
      </c>
      <c r="X23" s="370">
        <f t="shared" si="2"/>
        <v>9.148944583333334</v>
      </c>
      <c r="Y23" s="68"/>
      <c r="Z23" s="372"/>
      <c r="AA23" s="197"/>
      <c r="AB23" s="204"/>
      <c r="AC23" s="205">
        <f t="shared" si="3"/>
        <v>323.025</v>
      </c>
      <c r="AD23" s="205">
        <f t="shared" si="3"/>
        <v>56.418749999999996</v>
      </c>
      <c r="AE23" s="205">
        <f t="shared" si="4"/>
        <v>98.02440625000001</v>
      </c>
      <c r="AF23" s="205">
        <f t="shared" si="4"/>
        <v>607.7513187500001</v>
      </c>
      <c r="AG23" s="205">
        <f t="shared" si="4"/>
        <v>421.5049468750001</v>
      </c>
      <c r="AH23" s="206">
        <f t="shared" si="5"/>
        <v>1506.7244218750002</v>
      </c>
      <c r="AI23" s="206">
        <f t="shared" si="6"/>
        <v>6534.960416666668</v>
      </c>
      <c r="AJ23" s="207">
        <f t="shared" si="7"/>
        <v>8041.684838541668</v>
      </c>
      <c r="AK23" s="208"/>
      <c r="AL23" s="221">
        <f t="shared" si="8"/>
        <v>3426.185</v>
      </c>
      <c r="AM23" s="222">
        <f t="shared" si="9"/>
        <v>4615.4998385416675</v>
      </c>
      <c r="AN23" s="208"/>
      <c r="AO23" s="227">
        <f t="shared" si="10"/>
        <v>323.025</v>
      </c>
      <c r="AP23" s="227">
        <f t="shared" si="10"/>
        <v>56.418749999999996</v>
      </c>
      <c r="AQ23" s="205">
        <f t="shared" si="11"/>
        <v>98.02440625000001</v>
      </c>
      <c r="AR23" s="205">
        <f t="shared" si="11"/>
        <v>607.7513187500001</v>
      </c>
      <c r="AS23" s="205">
        <f t="shared" si="11"/>
        <v>118.28278354166669</v>
      </c>
      <c r="AT23" s="231">
        <f t="shared" si="12"/>
        <v>1203.5022585416668</v>
      </c>
    </row>
    <row r="24" spans="1:46" ht="11.25" customHeight="1">
      <c r="A24" s="8">
        <v>18</v>
      </c>
      <c r="B24" s="8">
        <v>44</v>
      </c>
      <c r="C24" s="8"/>
      <c r="D24" s="346">
        <v>6</v>
      </c>
      <c r="E24" s="17">
        <f>VLOOKUP(D24,'A13 - Tabelle'!$A$6:$F$13,6)</f>
        <v>57295.799999999996</v>
      </c>
      <c r="F24" s="17">
        <f>VLOOKUP(D24,'A13 - Tabelle'!$A$6:$G$13,7)</f>
        <v>42151.28</v>
      </c>
      <c r="G24" s="18">
        <f t="shared" si="0"/>
        <v>39631.28</v>
      </c>
      <c r="H24" s="19"/>
      <c r="I24" s="346">
        <v>7</v>
      </c>
      <c r="J24" s="17">
        <f>VLOOKUP(I24,'E13 - Tabelle'!$A$7:$L$19,11)</f>
        <v>78419.52500000001</v>
      </c>
      <c r="K24" s="20">
        <f>VLOOKUP(I24,'E13 - Tabelle'!$A$7:$L$19,12)</f>
        <v>41114.22</v>
      </c>
      <c r="L24" s="29">
        <f t="shared" si="1"/>
        <v>1482.9400000000023</v>
      </c>
      <c r="M24" s="32">
        <f t="shared" si="13"/>
        <v>-11312.629999999968</v>
      </c>
      <c r="N24" s="8">
        <v>18</v>
      </c>
      <c r="O24" s="8">
        <v>44</v>
      </c>
      <c r="P24" s="47"/>
      <c r="Q24" s="47"/>
      <c r="R24" s="347"/>
      <c r="S24" s="197"/>
      <c r="T24" s="204"/>
      <c r="U24" s="370">
        <f t="shared" si="14"/>
        <v>2.1461282156540777</v>
      </c>
      <c r="V24" s="371"/>
      <c r="W24" s="68">
        <v>1.3</v>
      </c>
      <c r="X24" s="370">
        <f t="shared" si="2"/>
        <v>8.495448541666669</v>
      </c>
      <c r="Y24" s="68"/>
      <c r="Z24" s="372"/>
      <c r="AA24" s="197"/>
      <c r="AB24" s="204"/>
      <c r="AC24" s="205">
        <f t="shared" si="3"/>
        <v>323.025</v>
      </c>
      <c r="AD24" s="205">
        <f t="shared" si="3"/>
        <v>56.418749999999996</v>
      </c>
      <c r="AE24" s="205">
        <f t="shared" si="4"/>
        <v>98.02440625000001</v>
      </c>
      <c r="AF24" s="205">
        <f t="shared" si="4"/>
        <v>607.7513187500001</v>
      </c>
      <c r="AG24" s="205">
        <f t="shared" si="4"/>
        <v>421.5049468750001</v>
      </c>
      <c r="AH24" s="206">
        <f t="shared" si="5"/>
        <v>1506.7244218750002</v>
      </c>
      <c r="AI24" s="206">
        <f t="shared" si="6"/>
        <v>6534.960416666668</v>
      </c>
      <c r="AJ24" s="207">
        <f t="shared" si="7"/>
        <v>8041.684838541668</v>
      </c>
      <c r="AK24" s="208"/>
      <c r="AL24" s="221">
        <f t="shared" si="8"/>
        <v>3426.185</v>
      </c>
      <c r="AM24" s="222">
        <f t="shared" si="9"/>
        <v>4615.4998385416675</v>
      </c>
      <c r="AN24" s="208"/>
      <c r="AO24" s="227">
        <f t="shared" si="10"/>
        <v>323.025</v>
      </c>
      <c r="AP24" s="227">
        <f t="shared" si="10"/>
        <v>56.418749999999996</v>
      </c>
      <c r="AQ24" s="205">
        <f t="shared" si="11"/>
        <v>98.02440625000001</v>
      </c>
      <c r="AR24" s="205">
        <f t="shared" si="11"/>
        <v>607.7513187500001</v>
      </c>
      <c r="AS24" s="205">
        <f t="shared" si="11"/>
        <v>118.28278354166669</v>
      </c>
      <c r="AT24" s="231">
        <f t="shared" si="12"/>
        <v>1203.5022585416668</v>
      </c>
    </row>
    <row r="25" spans="1:46" ht="11.25" customHeight="1">
      <c r="A25" s="8">
        <v>19</v>
      </c>
      <c r="B25" s="8">
        <v>45</v>
      </c>
      <c r="C25" s="8"/>
      <c r="D25" s="346">
        <v>7</v>
      </c>
      <c r="E25" s="17">
        <f>VLOOKUP(D25,'A13 - Tabelle'!$A$6:$F$13,6)</f>
        <v>59487.12</v>
      </c>
      <c r="F25" s="17">
        <f>VLOOKUP(D25,'A13 - Tabelle'!$A$6:$G$13,7)</f>
        <v>43372</v>
      </c>
      <c r="G25" s="18">
        <f t="shared" si="0"/>
        <v>40852</v>
      </c>
      <c r="H25" s="19"/>
      <c r="I25" s="346">
        <v>7</v>
      </c>
      <c r="J25" s="17">
        <f>VLOOKUP(I25,'E13 - Tabelle'!$A$7:$L$19,11)</f>
        <v>78419.52500000001</v>
      </c>
      <c r="K25" s="20">
        <f>VLOOKUP(I25,'E13 - Tabelle'!$A$7:$L$19,12)</f>
        <v>41114.22</v>
      </c>
      <c r="L25" s="29">
        <f t="shared" si="1"/>
        <v>262.22000000000116</v>
      </c>
      <c r="M25" s="32">
        <f t="shared" si="13"/>
        <v>-11050.409999999967</v>
      </c>
      <c r="N25" s="8">
        <v>19</v>
      </c>
      <c r="O25" s="8">
        <v>45</v>
      </c>
      <c r="P25" s="47"/>
      <c r="Q25" s="47"/>
      <c r="R25" s="347"/>
      <c r="S25" s="197"/>
      <c r="T25" s="204"/>
      <c r="U25" s="370">
        <f t="shared" si="14"/>
        <v>2.1461282156540777</v>
      </c>
      <c r="V25" s="371"/>
      <c r="W25" s="68">
        <v>1.3</v>
      </c>
      <c r="X25" s="370">
        <f t="shared" si="2"/>
        <v>8.495448541666669</v>
      </c>
      <c r="Y25" s="68"/>
      <c r="Z25" s="372"/>
      <c r="AA25" s="197"/>
      <c r="AB25" s="204"/>
      <c r="AC25" s="205">
        <f t="shared" si="3"/>
        <v>323.025</v>
      </c>
      <c r="AD25" s="205">
        <f t="shared" si="3"/>
        <v>56.418749999999996</v>
      </c>
      <c r="AE25" s="205">
        <f t="shared" si="4"/>
        <v>98.02440625000001</v>
      </c>
      <c r="AF25" s="205">
        <f t="shared" si="4"/>
        <v>607.7513187500001</v>
      </c>
      <c r="AG25" s="205">
        <f t="shared" si="4"/>
        <v>421.5049468750001</v>
      </c>
      <c r="AH25" s="206">
        <f t="shared" si="5"/>
        <v>1506.7244218750002</v>
      </c>
      <c r="AI25" s="206">
        <f t="shared" si="6"/>
        <v>6534.960416666668</v>
      </c>
      <c r="AJ25" s="207">
        <f t="shared" si="7"/>
        <v>8041.684838541668</v>
      </c>
      <c r="AK25" s="208"/>
      <c r="AL25" s="221">
        <f t="shared" si="8"/>
        <v>3426.185</v>
      </c>
      <c r="AM25" s="222">
        <f t="shared" si="9"/>
        <v>4615.4998385416675</v>
      </c>
      <c r="AN25" s="208"/>
      <c r="AO25" s="227">
        <f t="shared" si="10"/>
        <v>323.025</v>
      </c>
      <c r="AP25" s="227">
        <f t="shared" si="10"/>
        <v>56.418749999999996</v>
      </c>
      <c r="AQ25" s="205">
        <f t="shared" si="11"/>
        <v>98.02440625000001</v>
      </c>
      <c r="AR25" s="205">
        <f t="shared" si="11"/>
        <v>607.7513187500001</v>
      </c>
      <c r="AS25" s="205">
        <f t="shared" si="11"/>
        <v>118.28278354166669</v>
      </c>
      <c r="AT25" s="231">
        <f t="shared" si="12"/>
        <v>1203.5022585416668</v>
      </c>
    </row>
    <row r="26" spans="1:46" ht="11.25" customHeight="1">
      <c r="A26" s="8">
        <v>20</v>
      </c>
      <c r="B26" s="8">
        <v>46</v>
      </c>
      <c r="C26" s="8"/>
      <c r="D26" s="346">
        <v>7</v>
      </c>
      <c r="E26" s="17">
        <f>VLOOKUP(D26,'A13 - Tabelle'!$A$6:$F$13,6)</f>
        <v>59487.12</v>
      </c>
      <c r="F26" s="17">
        <f>VLOOKUP(D26,'A13 - Tabelle'!$A$6:$G$13,7)</f>
        <v>43372</v>
      </c>
      <c r="G26" s="18">
        <f t="shared" si="0"/>
        <v>40852</v>
      </c>
      <c r="H26" s="19"/>
      <c r="I26" s="346">
        <v>7</v>
      </c>
      <c r="J26" s="17">
        <f>VLOOKUP(I26,'E13 - Tabelle'!$A$7:$L$19,11)</f>
        <v>78419.52500000001</v>
      </c>
      <c r="K26" s="20">
        <f>VLOOKUP(I26,'E13 - Tabelle'!$A$7:$L$19,12)</f>
        <v>41114.22</v>
      </c>
      <c r="L26" s="28">
        <f t="shared" si="1"/>
        <v>262.22000000000116</v>
      </c>
      <c r="M26" s="32">
        <f t="shared" si="13"/>
        <v>-10788.189999999966</v>
      </c>
      <c r="N26" s="8">
        <v>20</v>
      </c>
      <c r="O26" s="8">
        <v>46</v>
      </c>
      <c r="P26" s="47"/>
      <c r="Q26" s="47"/>
      <c r="R26" s="347"/>
      <c r="S26" s="197"/>
      <c r="T26" s="204"/>
      <c r="U26" s="370">
        <f t="shared" si="14"/>
        <v>2.1461282156540777</v>
      </c>
      <c r="V26" s="371"/>
      <c r="W26" s="68">
        <v>1.3</v>
      </c>
      <c r="X26" s="370">
        <f t="shared" si="2"/>
        <v>8.495448541666669</v>
      </c>
      <c r="Y26" s="68"/>
      <c r="Z26" s="372"/>
      <c r="AA26" s="197"/>
      <c r="AB26" s="204"/>
      <c r="AC26" s="205">
        <f t="shared" si="3"/>
        <v>323.025</v>
      </c>
      <c r="AD26" s="205">
        <f t="shared" si="3"/>
        <v>56.418749999999996</v>
      </c>
      <c r="AE26" s="205">
        <f t="shared" si="4"/>
        <v>98.02440625000001</v>
      </c>
      <c r="AF26" s="205">
        <f t="shared" si="4"/>
        <v>607.7513187500001</v>
      </c>
      <c r="AG26" s="205">
        <f t="shared" si="4"/>
        <v>421.5049468750001</v>
      </c>
      <c r="AH26" s="206">
        <f t="shared" si="5"/>
        <v>1506.7244218750002</v>
      </c>
      <c r="AI26" s="206">
        <f t="shared" si="6"/>
        <v>6534.960416666668</v>
      </c>
      <c r="AJ26" s="207">
        <f t="shared" si="7"/>
        <v>8041.684838541668</v>
      </c>
      <c r="AK26" s="208"/>
      <c r="AL26" s="221">
        <f t="shared" si="8"/>
        <v>3426.185</v>
      </c>
      <c r="AM26" s="222">
        <f t="shared" si="9"/>
        <v>4615.4998385416675</v>
      </c>
      <c r="AN26" s="208"/>
      <c r="AO26" s="227">
        <f t="shared" si="10"/>
        <v>323.025</v>
      </c>
      <c r="AP26" s="227">
        <f t="shared" si="10"/>
        <v>56.418749999999996</v>
      </c>
      <c r="AQ26" s="205">
        <f t="shared" si="11"/>
        <v>98.02440625000001</v>
      </c>
      <c r="AR26" s="205">
        <f t="shared" si="11"/>
        <v>607.7513187500001</v>
      </c>
      <c r="AS26" s="205">
        <f t="shared" si="11"/>
        <v>118.28278354166669</v>
      </c>
      <c r="AT26" s="231">
        <f t="shared" si="12"/>
        <v>1203.5022585416668</v>
      </c>
    </row>
    <row r="27" spans="1:46" ht="11.25" customHeight="1">
      <c r="A27" s="8">
        <v>21</v>
      </c>
      <c r="B27" s="8">
        <v>47</v>
      </c>
      <c r="C27" s="8"/>
      <c r="D27" s="346">
        <v>7</v>
      </c>
      <c r="E27" s="17">
        <f>VLOOKUP(D27,'A13 - Tabelle'!$A$6:$F$13,6)</f>
        <v>59487.12</v>
      </c>
      <c r="F27" s="17">
        <f>VLOOKUP(D27,'A13 - Tabelle'!$A$6:$G$13,7)</f>
        <v>43372</v>
      </c>
      <c r="G27" s="18">
        <f t="shared" si="0"/>
        <v>40852</v>
      </c>
      <c r="H27" s="19"/>
      <c r="I27" s="346">
        <v>7</v>
      </c>
      <c r="J27" s="17">
        <f>VLOOKUP(I27,'E13 - Tabelle'!$A$7:$L$19,11)</f>
        <v>78419.52500000001</v>
      </c>
      <c r="K27" s="20">
        <f>VLOOKUP(I27,'E13 - Tabelle'!$A$7:$L$19,12)</f>
        <v>41114.22</v>
      </c>
      <c r="L27" s="28">
        <f t="shared" si="1"/>
        <v>262.22000000000116</v>
      </c>
      <c r="M27" s="32">
        <f t="shared" si="13"/>
        <v>-10525.969999999965</v>
      </c>
      <c r="N27" s="8">
        <v>21</v>
      </c>
      <c r="O27" s="8">
        <v>47</v>
      </c>
      <c r="P27" s="49"/>
      <c r="Q27" s="49"/>
      <c r="R27" s="347"/>
      <c r="S27" s="197"/>
      <c r="T27" s="204"/>
      <c r="U27" s="370">
        <f t="shared" si="14"/>
        <v>2.1461282156540777</v>
      </c>
      <c r="V27" s="371"/>
      <c r="W27" s="68">
        <v>1.2</v>
      </c>
      <c r="X27" s="370">
        <f t="shared" si="2"/>
        <v>7.8419525000000005</v>
      </c>
      <c r="Y27" s="68"/>
      <c r="Z27" s="372"/>
      <c r="AA27" s="197"/>
      <c r="AB27" s="204"/>
      <c r="AC27" s="205">
        <f aca="true" t="shared" si="15" ref="AC27:AD46">IF(($J27&lt;$AJ$1),$J27/12*AC$5,$AJ$1/12*AC$5)</f>
        <v>323.025</v>
      </c>
      <c r="AD27" s="205">
        <f t="shared" si="15"/>
        <v>56.418749999999996</v>
      </c>
      <c r="AE27" s="205">
        <f aca="true" t="shared" si="16" ref="AE27:AG46">$J27/12*AE$5</f>
        <v>98.02440625000001</v>
      </c>
      <c r="AF27" s="205">
        <f t="shared" si="16"/>
        <v>607.7513187500001</v>
      </c>
      <c r="AG27" s="205">
        <f t="shared" si="16"/>
        <v>421.5049468750001</v>
      </c>
      <c r="AH27" s="206">
        <f t="shared" si="5"/>
        <v>1506.7244218750002</v>
      </c>
      <c r="AI27" s="206">
        <f t="shared" si="6"/>
        <v>6534.960416666668</v>
      </c>
      <c r="AJ27" s="207">
        <f t="shared" si="7"/>
        <v>8041.684838541668</v>
      </c>
      <c r="AK27" s="208"/>
      <c r="AL27" s="221">
        <f t="shared" si="8"/>
        <v>3426.185</v>
      </c>
      <c r="AM27" s="222">
        <f t="shared" si="9"/>
        <v>4615.4998385416675</v>
      </c>
      <c r="AN27" s="208"/>
      <c r="AO27" s="227">
        <f aca="true" t="shared" si="17" ref="AO27:AP46">IF(($J27&lt;$AJ$1),$J27/12*AO$5,$AJ$1/12*AO$5)</f>
        <v>323.025</v>
      </c>
      <c r="AP27" s="227">
        <f t="shared" si="17"/>
        <v>56.418749999999996</v>
      </c>
      <c r="AQ27" s="205">
        <f aca="true" t="shared" si="18" ref="AQ27:AS46">$J27/12*AQ$5</f>
        <v>98.02440625000001</v>
      </c>
      <c r="AR27" s="205">
        <f t="shared" si="18"/>
        <v>607.7513187500001</v>
      </c>
      <c r="AS27" s="205">
        <f t="shared" si="18"/>
        <v>118.28278354166669</v>
      </c>
      <c r="AT27" s="231">
        <f t="shared" si="12"/>
        <v>1203.5022585416668</v>
      </c>
    </row>
    <row r="28" spans="1:46" ht="11.25" customHeight="1">
      <c r="A28" s="8">
        <v>22</v>
      </c>
      <c r="B28" s="8">
        <v>48</v>
      </c>
      <c r="C28" s="8"/>
      <c r="D28" s="346">
        <v>7</v>
      </c>
      <c r="E28" s="17">
        <f>VLOOKUP(D28,'A13 - Tabelle'!$A$6:$F$13,6)</f>
        <v>59487.12</v>
      </c>
      <c r="F28" s="17">
        <f>VLOOKUP(D28,'A13 - Tabelle'!$A$6:$G$13,7)</f>
        <v>43372</v>
      </c>
      <c r="G28" s="18">
        <f t="shared" si="0"/>
        <v>40852</v>
      </c>
      <c r="H28" s="19"/>
      <c r="I28" s="346">
        <v>7</v>
      </c>
      <c r="J28" s="17">
        <f>VLOOKUP(I28,'E13 - Tabelle'!$A$7:$L$19,11)</f>
        <v>78419.52500000001</v>
      </c>
      <c r="K28" s="20">
        <f>VLOOKUP(I28,'E13 - Tabelle'!$A$7:$L$19,12)</f>
        <v>41114.22</v>
      </c>
      <c r="L28" s="28">
        <f t="shared" si="1"/>
        <v>262.22000000000116</v>
      </c>
      <c r="M28" s="32">
        <f t="shared" si="13"/>
        <v>-10263.749999999964</v>
      </c>
      <c r="N28" s="8">
        <v>22</v>
      </c>
      <c r="O28" s="8">
        <v>48</v>
      </c>
      <c r="P28" s="47"/>
      <c r="Q28" s="47"/>
      <c r="R28" s="347"/>
      <c r="S28" s="197"/>
      <c r="T28" s="204"/>
      <c r="U28" s="370">
        <f t="shared" si="14"/>
        <v>2.1461282156540777</v>
      </c>
      <c r="V28" s="371"/>
      <c r="W28" s="68">
        <v>1.2</v>
      </c>
      <c r="X28" s="370">
        <f t="shared" si="2"/>
        <v>7.8419525000000005</v>
      </c>
      <c r="Y28" s="68"/>
      <c r="Z28" s="372"/>
      <c r="AA28" s="197"/>
      <c r="AB28" s="204"/>
      <c r="AC28" s="205">
        <f t="shared" si="15"/>
        <v>323.025</v>
      </c>
      <c r="AD28" s="205">
        <f t="shared" si="15"/>
        <v>56.418749999999996</v>
      </c>
      <c r="AE28" s="205">
        <f t="shared" si="16"/>
        <v>98.02440625000001</v>
      </c>
      <c r="AF28" s="205">
        <f t="shared" si="16"/>
        <v>607.7513187500001</v>
      </c>
      <c r="AG28" s="205">
        <f t="shared" si="16"/>
        <v>421.5049468750001</v>
      </c>
      <c r="AH28" s="206">
        <f t="shared" si="5"/>
        <v>1506.7244218750002</v>
      </c>
      <c r="AI28" s="206">
        <f t="shared" si="6"/>
        <v>6534.960416666668</v>
      </c>
      <c r="AJ28" s="207">
        <f t="shared" si="7"/>
        <v>8041.684838541668</v>
      </c>
      <c r="AK28" s="208"/>
      <c r="AL28" s="221">
        <f t="shared" si="8"/>
        <v>3426.185</v>
      </c>
      <c r="AM28" s="222">
        <f t="shared" si="9"/>
        <v>4615.4998385416675</v>
      </c>
      <c r="AN28" s="208"/>
      <c r="AO28" s="227">
        <f t="shared" si="17"/>
        <v>323.025</v>
      </c>
      <c r="AP28" s="227">
        <f t="shared" si="17"/>
        <v>56.418749999999996</v>
      </c>
      <c r="AQ28" s="205">
        <f t="shared" si="18"/>
        <v>98.02440625000001</v>
      </c>
      <c r="AR28" s="205">
        <f t="shared" si="18"/>
        <v>607.7513187500001</v>
      </c>
      <c r="AS28" s="205">
        <f t="shared" si="18"/>
        <v>118.28278354166669</v>
      </c>
      <c r="AT28" s="231">
        <f t="shared" si="12"/>
        <v>1203.5022585416668</v>
      </c>
    </row>
    <row r="29" spans="1:46" ht="11.25" customHeight="1">
      <c r="A29" s="8">
        <v>23</v>
      </c>
      <c r="B29" s="8">
        <v>49</v>
      </c>
      <c r="C29" s="8"/>
      <c r="D29" s="346">
        <v>8</v>
      </c>
      <c r="E29" s="17">
        <f>VLOOKUP(D29,'A13 - Tabelle'!$A$6:$F$13,6)</f>
        <v>60640.31999999999</v>
      </c>
      <c r="F29" s="17">
        <f>VLOOKUP(D29,'A13 - Tabelle'!$A$6:$G$13,7)</f>
        <v>44013.52</v>
      </c>
      <c r="G29" s="18">
        <f t="shared" si="0"/>
        <v>41493.52</v>
      </c>
      <c r="H29" s="19"/>
      <c r="I29" s="346">
        <v>7</v>
      </c>
      <c r="J29" s="17">
        <f>VLOOKUP(I29,'E13 - Tabelle'!$A$7:$L$19,11)</f>
        <v>78419.52500000001</v>
      </c>
      <c r="K29" s="20">
        <f>VLOOKUP(I29,'E13 - Tabelle'!$A$7:$L$19,12)</f>
        <v>41114.22</v>
      </c>
      <c r="L29" s="28">
        <f t="shared" si="1"/>
        <v>-379.29999999999563</v>
      </c>
      <c r="M29" s="32">
        <f t="shared" si="13"/>
        <v>-10643.04999999996</v>
      </c>
      <c r="N29" s="8">
        <v>23</v>
      </c>
      <c r="O29" s="8">
        <v>49</v>
      </c>
      <c r="P29" s="47"/>
      <c r="Q29" s="47"/>
      <c r="R29" s="347"/>
      <c r="S29" s="197"/>
      <c r="T29" s="204"/>
      <c r="U29" s="370">
        <f t="shared" si="14"/>
        <v>2.1461282156540777</v>
      </c>
      <c r="V29" s="371"/>
      <c r="W29" s="68">
        <v>1.2</v>
      </c>
      <c r="X29" s="370">
        <f t="shared" si="2"/>
        <v>7.8419525000000005</v>
      </c>
      <c r="Y29" s="68"/>
      <c r="Z29" s="372"/>
      <c r="AA29" s="197"/>
      <c r="AB29" s="204"/>
      <c r="AC29" s="205">
        <f t="shared" si="15"/>
        <v>323.025</v>
      </c>
      <c r="AD29" s="205">
        <f t="shared" si="15"/>
        <v>56.418749999999996</v>
      </c>
      <c r="AE29" s="205">
        <f t="shared" si="16"/>
        <v>98.02440625000001</v>
      </c>
      <c r="AF29" s="205">
        <f t="shared" si="16"/>
        <v>607.7513187500001</v>
      </c>
      <c r="AG29" s="205">
        <f t="shared" si="16"/>
        <v>421.5049468750001</v>
      </c>
      <c r="AH29" s="206">
        <f t="shared" si="5"/>
        <v>1506.7244218750002</v>
      </c>
      <c r="AI29" s="206">
        <f t="shared" si="6"/>
        <v>6534.960416666668</v>
      </c>
      <c r="AJ29" s="207">
        <f t="shared" si="7"/>
        <v>8041.684838541668</v>
      </c>
      <c r="AK29" s="208"/>
      <c r="AL29" s="221">
        <f t="shared" si="8"/>
        <v>3426.185</v>
      </c>
      <c r="AM29" s="222">
        <f t="shared" si="9"/>
        <v>4615.4998385416675</v>
      </c>
      <c r="AN29" s="208"/>
      <c r="AO29" s="227">
        <f t="shared" si="17"/>
        <v>323.025</v>
      </c>
      <c r="AP29" s="227">
        <f t="shared" si="17"/>
        <v>56.418749999999996</v>
      </c>
      <c r="AQ29" s="205">
        <f t="shared" si="18"/>
        <v>98.02440625000001</v>
      </c>
      <c r="AR29" s="205">
        <f t="shared" si="18"/>
        <v>607.7513187500001</v>
      </c>
      <c r="AS29" s="205">
        <f t="shared" si="18"/>
        <v>118.28278354166669</v>
      </c>
      <c r="AT29" s="231">
        <f t="shared" si="12"/>
        <v>1203.5022585416668</v>
      </c>
    </row>
    <row r="30" spans="1:46" ht="11.25" customHeight="1">
      <c r="A30" s="8">
        <v>24</v>
      </c>
      <c r="B30" s="8">
        <v>50</v>
      </c>
      <c r="C30" s="8"/>
      <c r="D30" s="346">
        <v>8</v>
      </c>
      <c r="E30" s="17">
        <f>VLOOKUP(D30,'A13 - Tabelle'!$A$6:$F$13,6)</f>
        <v>60640.31999999999</v>
      </c>
      <c r="F30" s="17">
        <f>VLOOKUP(D30,'A13 - Tabelle'!$A$6:$G$13,7)</f>
        <v>44013.52</v>
      </c>
      <c r="G30" s="18">
        <f t="shared" si="0"/>
        <v>41493.52</v>
      </c>
      <c r="H30" s="19"/>
      <c r="I30" s="346">
        <v>7</v>
      </c>
      <c r="J30" s="17">
        <f>VLOOKUP(I30,'E13 - Tabelle'!$A$7:$L$19,11)</f>
        <v>78419.52500000001</v>
      </c>
      <c r="K30" s="20">
        <f>VLOOKUP(I30,'E13 - Tabelle'!$A$7:$L$19,12)</f>
        <v>41114.22</v>
      </c>
      <c r="L30" s="28">
        <f t="shared" si="1"/>
        <v>-379.29999999999563</v>
      </c>
      <c r="M30" s="32">
        <f t="shared" si="13"/>
        <v>-11022.349999999955</v>
      </c>
      <c r="N30" s="8">
        <v>24</v>
      </c>
      <c r="O30" s="8">
        <v>50</v>
      </c>
      <c r="P30" s="47"/>
      <c r="Q30" s="47"/>
      <c r="R30" s="347"/>
      <c r="S30" s="197"/>
      <c r="T30" s="204"/>
      <c r="U30" s="370">
        <f t="shared" si="14"/>
        <v>2.1461282156540777</v>
      </c>
      <c r="V30" s="371"/>
      <c r="W30" s="68">
        <v>1.1</v>
      </c>
      <c r="X30" s="370">
        <f t="shared" si="2"/>
        <v>7.188456458333334</v>
      </c>
      <c r="Y30" s="68"/>
      <c r="Z30" s="372"/>
      <c r="AA30" s="197"/>
      <c r="AB30" s="204"/>
      <c r="AC30" s="205">
        <f t="shared" si="15"/>
        <v>323.025</v>
      </c>
      <c r="AD30" s="205">
        <f t="shared" si="15"/>
        <v>56.418749999999996</v>
      </c>
      <c r="AE30" s="205">
        <f t="shared" si="16"/>
        <v>98.02440625000001</v>
      </c>
      <c r="AF30" s="205">
        <f t="shared" si="16"/>
        <v>607.7513187500001</v>
      </c>
      <c r="AG30" s="205">
        <f t="shared" si="16"/>
        <v>421.5049468750001</v>
      </c>
      <c r="AH30" s="206">
        <f t="shared" si="5"/>
        <v>1506.7244218750002</v>
      </c>
      <c r="AI30" s="206">
        <f t="shared" si="6"/>
        <v>6534.960416666668</v>
      </c>
      <c r="AJ30" s="207">
        <f t="shared" si="7"/>
        <v>8041.684838541668</v>
      </c>
      <c r="AK30" s="208"/>
      <c r="AL30" s="221">
        <f t="shared" si="8"/>
        <v>3426.185</v>
      </c>
      <c r="AM30" s="222">
        <f t="shared" si="9"/>
        <v>4615.4998385416675</v>
      </c>
      <c r="AN30" s="208"/>
      <c r="AO30" s="227">
        <f t="shared" si="17"/>
        <v>323.025</v>
      </c>
      <c r="AP30" s="227">
        <f t="shared" si="17"/>
        <v>56.418749999999996</v>
      </c>
      <c r="AQ30" s="205">
        <f t="shared" si="18"/>
        <v>98.02440625000001</v>
      </c>
      <c r="AR30" s="205">
        <f t="shared" si="18"/>
        <v>607.7513187500001</v>
      </c>
      <c r="AS30" s="205">
        <f t="shared" si="18"/>
        <v>118.28278354166669</v>
      </c>
      <c r="AT30" s="231">
        <f t="shared" si="12"/>
        <v>1203.5022585416668</v>
      </c>
    </row>
    <row r="31" spans="1:46" ht="11.25" customHeight="1">
      <c r="A31" s="8">
        <v>25</v>
      </c>
      <c r="B31" s="8">
        <v>51</v>
      </c>
      <c r="C31" s="8"/>
      <c r="D31" s="16">
        <v>8</v>
      </c>
      <c r="E31" s="17">
        <f>VLOOKUP(D31,'A13 - Tabelle'!$A$6:$F$13,6)</f>
        <v>60640.31999999999</v>
      </c>
      <c r="F31" s="17">
        <f>VLOOKUP(D31,'A13 - Tabelle'!$A$6:$G$13,7)</f>
        <v>44013.52</v>
      </c>
      <c r="G31" s="18">
        <f t="shared" si="0"/>
        <v>41493.52</v>
      </c>
      <c r="H31" s="19"/>
      <c r="I31" s="346">
        <v>7</v>
      </c>
      <c r="J31" s="17">
        <f>VLOOKUP(I31,'E13 - Tabelle'!$A$7:$L$19,11)</f>
        <v>78419.52500000001</v>
      </c>
      <c r="K31" s="20">
        <f>VLOOKUP(I31,'E13 - Tabelle'!$A$7:$L$19,12)</f>
        <v>41114.22</v>
      </c>
      <c r="L31" s="28">
        <f t="shared" si="1"/>
        <v>-379.29999999999563</v>
      </c>
      <c r="M31" s="32">
        <f t="shared" si="13"/>
        <v>-11401.64999999995</v>
      </c>
      <c r="N31" s="8">
        <v>25</v>
      </c>
      <c r="O31" s="8">
        <v>51</v>
      </c>
      <c r="P31" s="47"/>
      <c r="Q31" s="47"/>
      <c r="R31" s="347"/>
      <c r="S31" s="197"/>
      <c r="T31" s="204"/>
      <c r="U31" s="370">
        <f t="shared" si="14"/>
        <v>2.1461282156540777</v>
      </c>
      <c r="V31" s="371"/>
      <c r="W31" s="68">
        <v>1.1</v>
      </c>
      <c r="X31" s="370">
        <f t="shared" si="2"/>
        <v>7.188456458333334</v>
      </c>
      <c r="Y31" s="68"/>
      <c r="Z31" s="372"/>
      <c r="AA31" s="197"/>
      <c r="AB31" s="204"/>
      <c r="AC31" s="205">
        <f t="shared" si="15"/>
        <v>323.025</v>
      </c>
      <c r="AD31" s="205">
        <f t="shared" si="15"/>
        <v>56.418749999999996</v>
      </c>
      <c r="AE31" s="205">
        <f t="shared" si="16"/>
        <v>98.02440625000001</v>
      </c>
      <c r="AF31" s="205">
        <f t="shared" si="16"/>
        <v>607.7513187500001</v>
      </c>
      <c r="AG31" s="205">
        <f t="shared" si="16"/>
        <v>421.5049468750001</v>
      </c>
      <c r="AH31" s="206">
        <f t="shared" si="5"/>
        <v>1506.7244218750002</v>
      </c>
      <c r="AI31" s="206">
        <f t="shared" si="6"/>
        <v>6534.960416666668</v>
      </c>
      <c r="AJ31" s="207">
        <f t="shared" si="7"/>
        <v>8041.684838541668</v>
      </c>
      <c r="AK31" s="208"/>
      <c r="AL31" s="221">
        <f t="shared" si="8"/>
        <v>3426.185</v>
      </c>
      <c r="AM31" s="222">
        <f t="shared" si="9"/>
        <v>4615.4998385416675</v>
      </c>
      <c r="AN31" s="208"/>
      <c r="AO31" s="227">
        <f t="shared" si="17"/>
        <v>323.025</v>
      </c>
      <c r="AP31" s="227">
        <f t="shared" si="17"/>
        <v>56.418749999999996</v>
      </c>
      <c r="AQ31" s="205">
        <f t="shared" si="18"/>
        <v>98.02440625000001</v>
      </c>
      <c r="AR31" s="205">
        <f t="shared" si="18"/>
        <v>607.7513187500001</v>
      </c>
      <c r="AS31" s="205">
        <f t="shared" si="18"/>
        <v>118.28278354166669</v>
      </c>
      <c r="AT31" s="231">
        <f t="shared" si="12"/>
        <v>1203.5022585416668</v>
      </c>
    </row>
    <row r="32" spans="1:46" ht="11.25" customHeight="1">
      <c r="A32" s="8">
        <v>26</v>
      </c>
      <c r="B32" s="8">
        <v>52</v>
      </c>
      <c r="C32" s="8"/>
      <c r="D32" s="16">
        <v>8</v>
      </c>
      <c r="E32" s="17">
        <f>VLOOKUP(D32,'A13 - Tabelle'!$A$6:$F$13,6)</f>
        <v>60640.31999999999</v>
      </c>
      <c r="F32" s="17">
        <f>VLOOKUP(D32,'A13 - Tabelle'!$A$6:$G$13,7)</f>
        <v>44013.52</v>
      </c>
      <c r="G32" s="18">
        <f t="shared" si="0"/>
        <v>41493.52</v>
      </c>
      <c r="H32" s="19"/>
      <c r="I32" s="346">
        <v>7</v>
      </c>
      <c r="J32" s="17">
        <f>VLOOKUP(I32,'E13 - Tabelle'!$A$7:$L$19,11)</f>
        <v>78419.52500000001</v>
      </c>
      <c r="K32" s="20">
        <f>VLOOKUP(I32,'E13 - Tabelle'!$A$7:$L$19,12)</f>
        <v>41114.22</v>
      </c>
      <c r="L32" s="28">
        <f t="shared" si="1"/>
        <v>-379.29999999999563</v>
      </c>
      <c r="M32" s="32">
        <f t="shared" si="13"/>
        <v>-11780.949999999946</v>
      </c>
      <c r="N32" s="8">
        <v>26</v>
      </c>
      <c r="O32" s="8">
        <v>52</v>
      </c>
      <c r="P32" s="47"/>
      <c r="Q32" s="47"/>
      <c r="R32" s="347"/>
      <c r="S32" s="197"/>
      <c r="T32" s="204"/>
      <c r="U32" s="370">
        <f t="shared" si="14"/>
        <v>2.1461282156540777</v>
      </c>
      <c r="V32" s="371"/>
      <c r="W32" s="68">
        <v>1.1</v>
      </c>
      <c r="X32" s="370">
        <f t="shared" si="2"/>
        <v>7.188456458333334</v>
      </c>
      <c r="Y32" s="68"/>
      <c r="Z32" s="372"/>
      <c r="AA32" s="197"/>
      <c r="AB32" s="204"/>
      <c r="AC32" s="205">
        <f t="shared" si="15"/>
        <v>323.025</v>
      </c>
      <c r="AD32" s="205">
        <f t="shared" si="15"/>
        <v>56.418749999999996</v>
      </c>
      <c r="AE32" s="205">
        <f t="shared" si="16"/>
        <v>98.02440625000001</v>
      </c>
      <c r="AF32" s="205">
        <f t="shared" si="16"/>
        <v>607.7513187500001</v>
      </c>
      <c r="AG32" s="205">
        <f t="shared" si="16"/>
        <v>421.5049468750001</v>
      </c>
      <c r="AH32" s="206">
        <f t="shared" si="5"/>
        <v>1506.7244218750002</v>
      </c>
      <c r="AI32" s="206">
        <f t="shared" si="6"/>
        <v>6534.960416666668</v>
      </c>
      <c r="AJ32" s="207">
        <f t="shared" si="7"/>
        <v>8041.684838541668</v>
      </c>
      <c r="AK32" s="208"/>
      <c r="AL32" s="221">
        <f t="shared" si="8"/>
        <v>3426.185</v>
      </c>
      <c r="AM32" s="222">
        <f t="shared" si="9"/>
        <v>4615.4998385416675</v>
      </c>
      <c r="AN32" s="208"/>
      <c r="AO32" s="227">
        <f t="shared" si="17"/>
        <v>323.025</v>
      </c>
      <c r="AP32" s="227">
        <f t="shared" si="17"/>
        <v>56.418749999999996</v>
      </c>
      <c r="AQ32" s="205">
        <f t="shared" si="18"/>
        <v>98.02440625000001</v>
      </c>
      <c r="AR32" s="205">
        <f t="shared" si="18"/>
        <v>607.7513187500001</v>
      </c>
      <c r="AS32" s="205">
        <f t="shared" si="18"/>
        <v>118.28278354166669</v>
      </c>
      <c r="AT32" s="231">
        <f t="shared" si="12"/>
        <v>1203.5022585416668</v>
      </c>
    </row>
    <row r="33" spans="1:46" ht="11.25" customHeight="1">
      <c r="A33" s="8">
        <v>27</v>
      </c>
      <c r="B33" s="8">
        <v>53</v>
      </c>
      <c r="C33" s="8"/>
      <c r="D33" s="16">
        <v>8</v>
      </c>
      <c r="E33" s="17">
        <f>VLOOKUP(D33,'A13 - Tabelle'!$A$6:$F$13,6)</f>
        <v>60640.31999999999</v>
      </c>
      <c r="F33" s="17">
        <f>VLOOKUP(D33,'A13 - Tabelle'!$A$6:$G$13,7)</f>
        <v>44013.52</v>
      </c>
      <c r="G33" s="18">
        <f t="shared" si="0"/>
        <v>41493.52</v>
      </c>
      <c r="H33" s="19"/>
      <c r="I33" s="346">
        <v>7</v>
      </c>
      <c r="J33" s="17">
        <f>VLOOKUP(I33,'E13 - Tabelle'!$A$7:$L$19,11)</f>
        <v>78419.52500000001</v>
      </c>
      <c r="K33" s="20">
        <f>VLOOKUP(I33,'E13 - Tabelle'!$A$7:$L$19,12)</f>
        <v>41114.22</v>
      </c>
      <c r="L33" s="28">
        <f t="shared" si="1"/>
        <v>-379.29999999999563</v>
      </c>
      <c r="M33" s="32">
        <f t="shared" si="13"/>
        <v>-12160.249999999942</v>
      </c>
      <c r="N33" s="8">
        <v>27</v>
      </c>
      <c r="O33" s="8">
        <v>53</v>
      </c>
      <c r="P33" s="47"/>
      <c r="Q33" s="47"/>
      <c r="R33" s="347"/>
      <c r="S33" s="197"/>
      <c r="T33" s="204"/>
      <c r="U33" s="370">
        <f t="shared" si="14"/>
        <v>2.1461282156540777</v>
      </c>
      <c r="V33" s="371"/>
      <c r="W33" s="68">
        <v>1</v>
      </c>
      <c r="X33" s="370">
        <f t="shared" si="2"/>
        <v>6.534960416666667</v>
      </c>
      <c r="Y33" s="68"/>
      <c r="Z33" s="372"/>
      <c r="AA33" s="197"/>
      <c r="AB33" s="204"/>
      <c r="AC33" s="205">
        <f t="shared" si="15"/>
        <v>323.025</v>
      </c>
      <c r="AD33" s="205">
        <f t="shared" si="15"/>
        <v>56.418749999999996</v>
      </c>
      <c r="AE33" s="205">
        <f t="shared" si="16"/>
        <v>98.02440625000001</v>
      </c>
      <c r="AF33" s="205">
        <f t="shared" si="16"/>
        <v>607.7513187500001</v>
      </c>
      <c r="AG33" s="205">
        <f t="shared" si="16"/>
        <v>421.5049468750001</v>
      </c>
      <c r="AH33" s="206">
        <f t="shared" si="5"/>
        <v>1506.7244218750002</v>
      </c>
      <c r="AI33" s="206">
        <f t="shared" si="6"/>
        <v>6534.960416666668</v>
      </c>
      <c r="AJ33" s="207">
        <f t="shared" si="7"/>
        <v>8041.684838541668</v>
      </c>
      <c r="AK33" s="208"/>
      <c r="AL33" s="221">
        <f t="shared" si="8"/>
        <v>3426.185</v>
      </c>
      <c r="AM33" s="222">
        <f t="shared" si="9"/>
        <v>4615.4998385416675</v>
      </c>
      <c r="AN33" s="208"/>
      <c r="AO33" s="227">
        <f t="shared" si="17"/>
        <v>323.025</v>
      </c>
      <c r="AP33" s="227">
        <f t="shared" si="17"/>
        <v>56.418749999999996</v>
      </c>
      <c r="AQ33" s="205">
        <f t="shared" si="18"/>
        <v>98.02440625000001</v>
      </c>
      <c r="AR33" s="205">
        <f t="shared" si="18"/>
        <v>607.7513187500001</v>
      </c>
      <c r="AS33" s="205">
        <f t="shared" si="18"/>
        <v>118.28278354166669</v>
      </c>
      <c r="AT33" s="231">
        <f t="shared" si="12"/>
        <v>1203.5022585416668</v>
      </c>
    </row>
    <row r="34" spans="1:46" ht="11.25" customHeight="1">
      <c r="A34" s="8">
        <v>28</v>
      </c>
      <c r="B34" s="8">
        <v>54</v>
      </c>
      <c r="C34" s="8"/>
      <c r="D34" s="16">
        <v>8</v>
      </c>
      <c r="E34" s="17">
        <f>VLOOKUP(D34,'A13 - Tabelle'!$A$6:$F$13,6)</f>
        <v>60640.31999999999</v>
      </c>
      <c r="F34" s="17">
        <f>VLOOKUP(D34,'A13 - Tabelle'!$A$6:$G$13,7)</f>
        <v>44013.52</v>
      </c>
      <c r="G34" s="18">
        <f t="shared" si="0"/>
        <v>41493.52</v>
      </c>
      <c r="H34" s="19"/>
      <c r="I34" s="346">
        <v>7</v>
      </c>
      <c r="J34" s="17">
        <f>VLOOKUP(I34,'E13 - Tabelle'!$A$7:$L$19,11)</f>
        <v>78419.52500000001</v>
      </c>
      <c r="K34" s="20">
        <f>VLOOKUP(I34,'E13 - Tabelle'!$A$7:$L$19,12)</f>
        <v>41114.22</v>
      </c>
      <c r="L34" s="28">
        <f t="shared" si="1"/>
        <v>-379.29999999999563</v>
      </c>
      <c r="M34" s="32">
        <f t="shared" si="13"/>
        <v>-12539.549999999937</v>
      </c>
      <c r="N34" s="8">
        <v>28</v>
      </c>
      <c r="O34" s="8">
        <v>54</v>
      </c>
      <c r="P34" s="47"/>
      <c r="Q34" s="47"/>
      <c r="R34" s="347"/>
      <c r="S34" s="197"/>
      <c r="T34" s="204"/>
      <c r="U34" s="370">
        <f t="shared" si="14"/>
        <v>2.1461282156540777</v>
      </c>
      <c r="V34" s="371"/>
      <c r="W34" s="68">
        <v>1</v>
      </c>
      <c r="X34" s="370">
        <f t="shared" si="2"/>
        <v>6.534960416666667</v>
      </c>
      <c r="Y34" s="68"/>
      <c r="Z34" s="372"/>
      <c r="AA34" s="197"/>
      <c r="AB34" s="204"/>
      <c r="AC34" s="205">
        <f t="shared" si="15"/>
        <v>323.025</v>
      </c>
      <c r="AD34" s="205">
        <f t="shared" si="15"/>
        <v>56.418749999999996</v>
      </c>
      <c r="AE34" s="205">
        <f t="shared" si="16"/>
        <v>98.02440625000001</v>
      </c>
      <c r="AF34" s="205">
        <f t="shared" si="16"/>
        <v>607.7513187500001</v>
      </c>
      <c r="AG34" s="205">
        <f t="shared" si="16"/>
        <v>421.5049468750001</v>
      </c>
      <c r="AH34" s="206">
        <f t="shared" si="5"/>
        <v>1506.7244218750002</v>
      </c>
      <c r="AI34" s="206">
        <f t="shared" si="6"/>
        <v>6534.960416666668</v>
      </c>
      <c r="AJ34" s="207">
        <f t="shared" si="7"/>
        <v>8041.684838541668</v>
      </c>
      <c r="AK34" s="208"/>
      <c r="AL34" s="221">
        <f t="shared" si="8"/>
        <v>3426.185</v>
      </c>
      <c r="AM34" s="222">
        <f t="shared" si="9"/>
        <v>4615.4998385416675</v>
      </c>
      <c r="AN34" s="208"/>
      <c r="AO34" s="227">
        <f t="shared" si="17"/>
        <v>323.025</v>
      </c>
      <c r="AP34" s="227">
        <f t="shared" si="17"/>
        <v>56.418749999999996</v>
      </c>
      <c r="AQ34" s="205">
        <f t="shared" si="18"/>
        <v>98.02440625000001</v>
      </c>
      <c r="AR34" s="205">
        <f t="shared" si="18"/>
        <v>607.7513187500001</v>
      </c>
      <c r="AS34" s="205">
        <f t="shared" si="18"/>
        <v>118.28278354166669</v>
      </c>
      <c r="AT34" s="231">
        <f t="shared" si="12"/>
        <v>1203.5022585416668</v>
      </c>
    </row>
    <row r="35" spans="1:46" ht="11.25" customHeight="1">
      <c r="A35" s="8">
        <v>29</v>
      </c>
      <c r="B35" s="8">
        <v>55</v>
      </c>
      <c r="C35" s="8"/>
      <c r="D35" s="16">
        <v>8</v>
      </c>
      <c r="E35" s="17">
        <f>VLOOKUP(D35,'A13 - Tabelle'!$A$6:$F$13,6)</f>
        <v>60640.31999999999</v>
      </c>
      <c r="F35" s="17">
        <f>VLOOKUP(D35,'A13 - Tabelle'!$A$6:$G$13,7)</f>
        <v>44013.52</v>
      </c>
      <c r="G35" s="18">
        <f t="shared" si="0"/>
        <v>41493.52</v>
      </c>
      <c r="H35" s="19"/>
      <c r="I35" s="346">
        <v>7</v>
      </c>
      <c r="J35" s="17">
        <f>VLOOKUP(I35,'E13 - Tabelle'!$A$7:$L$19,11)</f>
        <v>78419.52500000001</v>
      </c>
      <c r="K35" s="20">
        <f>VLOOKUP(I35,'E13 - Tabelle'!$A$7:$L$19,12)</f>
        <v>41114.22</v>
      </c>
      <c r="L35" s="28">
        <f t="shared" si="1"/>
        <v>-379.29999999999563</v>
      </c>
      <c r="M35" s="32">
        <f t="shared" si="13"/>
        <v>-12918.849999999933</v>
      </c>
      <c r="N35" s="8">
        <v>29</v>
      </c>
      <c r="O35" s="8">
        <v>55</v>
      </c>
      <c r="P35" s="47"/>
      <c r="Q35" s="47"/>
      <c r="R35" s="347"/>
      <c r="S35" s="197"/>
      <c r="T35" s="204"/>
      <c r="U35" s="370">
        <f t="shared" si="14"/>
        <v>2.1461282156540777</v>
      </c>
      <c r="V35" s="371"/>
      <c r="W35" s="68">
        <v>1</v>
      </c>
      <c r="X35" s="370">
        <f t="shared" si="2"/>
        <v>6.534960416666667</v>
      </c>
      <c r="Y35" s="68"/>
      <c r="Z35" s="372"/>
      <c r="AA35" s="197"/>
      <c r="AB35" s="204"/>
      <c r="AC35" s="205">
        <f t="shared" si="15"/>
        <v>323.025</v>
      </c>
      <c r="AD35" s="205">
        <f t="shared" si="15"/>
        <v>56.418749999999996</v>
      </c>
      <c r="AE35" s="205">
        <f t="shared" si="16"/>
        <v>98.02440625000001</v>
      </c>
      <c r="AF35" s="205">
        <f t="shared" si="16"/>
        <v>607.7513187500001</v>
      </c>
      <c r="AG35" s="205">
        <f t="shared" si="16"/>
        <v>421.5049468750001</v>
      </c>
      <c r="AH35" s="206">
        <f t="shared" si="5"/>
        <v>1506.7244218750002</v>
      </c>
      <c r="AI35" s="206">
        <f t="shared" si="6"/>
        <v>6534.960416666668</v>
      </c>
      <c r="AJ35" s="207">
        <f t="shared" si="7"/>
        <v>8041.684838541668</v>
      </c>
      <c r="AK35" s="208"/>
      <c r="AL35" s="221">
        <f t="shared" si="8"/>
        <v>3426.185</v>
      </c>
      <c r="AM35" s="222">
        <f t="shared" si="9"/>
        <v>4615.4998385416675</v>
      </c>
      <c r="AN35" s="208"/>
      <c r="AO35" s="227">
        <f t="shared" si="17"/>
        <v>323.025</v>
      </c>
      <c r="AP35" s="227">
        <f t="shared" si="17"/>
        <v>56.418749999999996</v>
      </c>
      <c r="AQ35" s="205">
        <f t="shared" si="18"/>
        <v>98.02440625000001</v>
      </c>
      <c r="AR35" s="205">
        <f t="shared" si="18"/>
        <v>607.7513187500001</v>
      </c>
      <c r="AS35" s="205">
        <f t="shared" si="18"/>
        <v>118.28278354166669</v>
      </c>
      <c r="AT35" s="231">
        <f t="shared" si="12"/>
        <v>1203.5022585416668</v>
      </c>
    </row>
    <row r="36" spans="1:46" ht="11.25" customHeight="1">
      <c r="A36" s="8">
        <v>30</v>
      </c>
      <c r="B36" s="8">
        <v>56</v>
      </c>
      <c r="C36" s="8"/>
      <c r="D36" s="16">
        <v>8</v>
      </c>
      <c r="E36" s="17">
        <f>VLOOKUP(D36,'A13 - Tabelle'!$A$6:$F$13,6)</f>
        <v>60640.31999999999</v>
      </c>
      <c r="F36" s="17">
        <f>VLOOKUP(D36,'A13 - Tabelle'!$A$6:$G$13,7)</f>
        <v>44013.52</v>
      </c>
      <c r="G36" s="18">
        <f t="shared" si="0"/>
        <v>41493.52</v>
      </c>
      <c r="H36" s="19"/>
      <c r="I36" s="346">
        <v>7</v>
      </c>
      <c r="J36" s="17">
        <f>VLOOKUP(I36,'E13 - Tabelle'!$A$7:$L$19,11)</f>
        <v>78419.52500000001</v>
      </c>
      <c r="K36" s="20">
        <f>VLOOKUP(I36,'E13 - Tabelle'!$A$7:$L$19,12)</f>
        <v>41114.22</v>
      </c>
      <c r="L36" s="28">
        <f t="shared" si="1"/>
        <v>-379.29999999999563</v>
      </c>
      <c r="M36" s="32">
        <f t="shared" si="13"/>
        <v>-13298.149999999929</v>
      </c>
      <c r="N36" s="8">
        <v>30</v>
      </c>
      <c r="O36" s="8">
        <v>56</v>
      </c>
      <c r="P36" s="47"/>
      <c r="Q36" s="47"/>
      <c r="R36" s="347"/>
      <c r="S36" s="197"/>
      <c r="T36" s="204"/>
      <c r="U36" s="370">
        <f t="shared" si="14"/>
        <v>2.1461282156540777</v>
      </c>
      <c r="V36" s="371"/>
      <c r="W36" s="68">
        <v>1</v>
      </c>
      <c r="X36" s="370">
        <f t="shared" si="2"/>
        <v>6.534960416666667</v>
      </c>
      <c r="Y36" s="68"/>
      <c r="Z36" s="372"/>
      <c r="AA36" s="197"/>
      <c r="AB36" s="204"/>
      <c r="AC36" s="205">
        <f t="shared" si="15"/>
        <v>323.025</v>
      </c>
      <c r="AD36" s="205">
        <f t="shared" si="15"/>
        <v>56.418749999999996</v>
      </c>
      <c r="AE36" s="205">
        <f t="shared" si="16"/>
        <v>98.02440625000001</v>
      </c>
      <c r="AF36" s="205">
        <f t="shared" si="16"/>
        <v>607.7513187500001</v>
      </c>
      <c r="AG36" s="205">
        <f t="shared" si="16"/>
        <v>421.5049468750001</v>
      </c>
      <c r="AH36" s="206">
        <f t="shared" si="5"/>
        <v>1506.7244218750002</v>
      </c>
      <c r="AI36" s="206">
        <f t="shared" si="6"/>
        <v>6534.960416666668</v>
      </c>
      <c r="AJ36" s="207">
        <f t="shared" si="7"/>
        <v>8041.684838541668</v>
      </c>
      <c r="AK36" s="208"/>
      <c r="AL36" s="221">
        <f t="shared" si="8"/>
        <v>3426.185</v>
      </c>
      <c r="AM36" s="222">
        <f t="shared" si="9"/>
        <v>4615.4998385416675</v>
      </c>
      <c r="AN36" s="208"/>
      <c r="AO36" s="227">
        <f t="shared" si="17"/>
        <v>323.025</v>
      </c>
      <c r="AP36" s="227">
        <f t="shared" si="17"/>
        <v>56.418749999999996</v>
      </c>
      <c r="AQ36" s="205">
        <f t="shared" si="18"/>
        <v>98.02440625000001</v>
      </c>
      <c r="AR36" s="205">
        <f t="shared" si="18"/>
        <v>607.7513187500001</v>
      </c>
      <c r="AS36" s="205">
        <f t="shared" si="18"/>
        <v>118.28278354166669</v>
      </c>
      <c r="AT36" s="231">
        <f t="shared" si="12"/>
        <v>1203.5022585416668</v>
      </c>
    </row>
    <row r="37" spans="1:46" ht="11.25" customHeight="1">
      <c r="A37" s="8">
        <v>31</v>
      </c>
      <c r="B37" s="8">
        <v>57</v>
      </c>
      <c r="C37" s="8"/>
      <c r="D37" s="16">
        <v>8</v>
      </c>
      <c r="E37" s="17">
        <f>VLOOKUP(D37,'A13 - Tabelle'!$A$6:$F$13,6)</f>
        <v>60640.31999999999</v>
      </c>
      <c r="F37" s="17">
        <f>VLOOKUP(D37,'A13 - Tabelle'!$A$6:$G$13,7)</f>
        <v>44013.52</v>
      </c>
      <c r="G37" s="18">
        <f t="shared" si="0"/>
        <v>41493.52</v>
      </c>
      <c r="H37" s="19"/>
      <c r="I37" s="346">
        <v>7</v>
      </c>
      <c r="J37" s="17">
        <f>VLOOKUP(I37,'E13 - Tabelle'!$A$7:$L$19,11)</f>
        <v>78419.52500000001</v>
      </c>
      <c r="K37" s="20">
        <f>VLOOKUP(I37,'E13 - Tabelle'!$A$7:$L$19,12)</f>
        <v>41114.22</v>
      </c>
      <c r="L37" s="28">
        <f t="shared" si="1"/>
        <v>-379.29999999999563</v>
      </c>
      <c r="M37" s="32">
        <f t="shared" si="13"/>
        <v>-13677.449999999924</v>
      </c>
      <c r="N37" s="8">
        <v>31</v>
      </c>
      <c r="O37" s="8">
        <v>57</v>
      </c>
      <c r="P37" s="47"/>
      <c r="Q37" s="47"/>
      <c r="R37" s="347"/>
      <c r="S37" s="197"/>
      <c r="T37" s="204"/>
      <c r="U37" s="370">
        <f t="shared" si="14"/>
        <v>2.1461282156540777</v>
      </c>
      <c r="V37" s="371"/>
      <c r="W37" s="68">
        <v>0.9</v>
      </c>
      <c r="X37" s="370">
        <f t="shared" si="2"/>
        <v>5.881464375000001</v>
      </c>
      <c r="Y37" s="68"/>
      <c r="Z37" s="372"/>
      <c r="AA37" s="197"/>
      <c r="AB37" s="204"/>
      <c r="AC37" s="205">
        <f t="shared" si="15"/>
        <v>323.025</v>
      </c>
      <c r="AD37" s="205">
        <f t="shared" si="15"/>
        <v>56.418749999999996</v>
      </c>
      <c r="AE37" s="205">
        <f t="shared" si="16"/>
        <v>98.02440625000001</v>
      </c>
      <c r="AF37" s="205">
        <f t="shared" si="16"/>
        <v>607.7513187500001</v>
      </c>
      <c r="AG37" s="205">
        <f t="shared" si="16"/>
        <v>421.5049468750001</v>
      </c>
      <c r="AH37" s="206">
        <f t="shared" si="5"/>
        <v>1506.7244218750002</v>
      </c>
      <c r="AI37" s="206">
        <f t="shared" si="6"/>
        <v>6534.960416666668</v>
      </c>
      <c r="AJ37" s="207">
        <f t="shared" si="7"/>
        <v>8041.684838541668</v>
      </c>
      <c r="AK37" s="208"/>
      <c r="AL37" s="221">
        <f t="shared" si="8"/>
        <v>3426.185</v>
      </c>
      <c r="AM37" s="222">
        <f t="shared" si="9"/>
        <v>4615.4998385416675</v>
      </c>
      <c r="AN37" s="208"/>
      <c r="AO37" s="227">
        <f t="shared" si="17"/>
        <v>323.025</v>
      </c>
      <c r="AP37" s="227">
        <f t="shared" si="17"/>
        <v>56.418749999999996</v>
      </c>
      <c r="AQ37" s="205">
        <f t="shared" si="18"/>
        <v>98.02440625000001</v>
      </c>
      <c r="AR37" s="205">
        <f t="shared" si="18"/>
        <v>607.7513187500001</v>
      </c>
      <c r="AS37" s="205">
        <f t="shared" si="18"/>
        <v>118.28278354166669</v>
      </c>
      <c r="AT37" s="231">
        <f t="shared" si="12"/>
        <v>1203.5022585416668</v>
      </c>
    </row>
    <row r="38" spans="1:46" ht="11.25" customHeight="1">
      <c r="A38" s="8">
        <v>32</v>
      </c>
      <c r="B38" s="8">
        <v>58</v>
      </c>
      <c r="C38" s="8"/>
      <c r="D38" s="16">
        <v>8</v>
      </c>
      <c r="E38" s="17">
        <f>VLOOKUP(D38,'A13 - Tabelle'!$A$6:$F$13,6)</f>
        <v>60640.31999999999</v>
      </c>
      <c r="F38" s="17">
        <f>VLOOKUP(D38,'A13 - Tabelle'!$A$6:$G$13,7)</f>
        <v>44013.52</v>
      </c>
      <c r="G38" s="18">
        <f t="shared" si="0"/>
        <v>41493.52</v>
      </c>
      <c r="H38" s="19"/>
      <c r="I38" s="346">
        <v>7</v>
      </c>
      <c r="J38" s="17">
        <f>VLOOKUP(I38,'E13 - Tabelle'!$A$7:$L$19,11)</f>
        <v>78419.52500000001</v>
      </c>
      <c r="K38" s="20">
        <f>VLOOKUP(I38,'E13 - Tabelle'!$A$7:$L$19,12)</f>
        <v>41114.22</v>
      </c>
      <c r="L38" s="28">
        <f t="shared" si="1"/>
        <v>-379.29999999999563</v>
      </c>
      <c r="M38" s="32">
        <f t="shared" si="13"/>
        <v>-14056.74999999992</v>
      </c>
      <c r="N38" s="8">
        <v>32</v>
      </c>
      <c r="O38" s="8">
        <v>58</v>
      </c>
      <c r="P38" s="47"/>
      <c r="Q38" s="47"/>
      <c r="R38" s="347"/>
      <c r="S38" s="197"/>
      <c r="T38" s="204"/>
      <c r="U38" s="370">
        <f t="shared" si="14"/>
        <v>2.1461282156540777</v>
      </c>
      <c r="V38" s="371"/>
      <c r="W38" s="68">
        <v>0.9</v>
      </c>
      <c r="X38" s="370">
        <f t="shared" si="2"/>
        <v>5.881464375000001</v>
      </c>
      <c r="Y38" s="68"/>
      <c r="Z38" s="372"/>
      <c r="AA38" s="197"/>
      <c r="AB38" s="204"/>
      <c r="AC38" s="205">
        <f t="shared" si="15"/>
        <v>323.025</v>
      </c>
      <c r="AD38" s="205">
        <f t="shared" si="15"/>
        <v>56.418749999999996</v>
      </c>
      <c r="AE38" s="205">
        <f t="shared" si="16"/>
        <v>98.02440625000001</v>
      </c>
      <c r="AF38" s="205">
        <f t="shared" si="16"/>
        <v>607.7513187500001</v>
      </c>
      <c r="AG38" s="205">
        <f t="shared" si="16"/>
        <v>421.5049468750001</v>
      </c>
      <c r="AH38" s="206">
        <f t="shared" si="5"/>
        <v>1506.7244218750002</v>
      </c>
      <c r="AI38" s="206">
        <f t="shared" si="6"/>
        <v>6534.960416666668</v>
      </c>
      <c r="AJ38" s="207">
        <f t="shared" si="7"/>
        <v>8041.684838541668</v>
      </c>
      <c r="AK38" s="208"/>
      <c r="AL38" s="221">
        <f t="shared" si="8"/>
        <v>3426.185</v>
      </c>
      <c r="AM38" s="222">
        <f t="shared" si="9"/>
        <v>4615.4998385416675</v>
      </c>
      <c r="AN38" s="208"/>
      <c r="AO38" s="227">
        <f t="shared" si="17"/>
        <v>323.025</v>
      </c>
      <c r="AP38" s="227">
        <f t="shared" si="17"/>
        <v>56.418749999999996</v>
      </c>
      <c r="AQ38" s="205">
        <f t="shared" si="18"/>
        <v>98.02440625000001</v>
      </c>
      <c r="AR38" s="205">
        <f t="shared" si="18"/>
        <v>607.7513187500001</v>
      </c>
      <c r="AS38" s="205">
        <f t="shared" si="18"/>
        <v>118.28278354166669</v>
      </c>
      <c r="AT38" s="231">
        <f t="shared" si="12"/>
        <v>1203.5022585416668</v>
      </c>
    </row>
    <row r="39" spans="1:46" ht="11.25" customHeight="1">
      <c r="A39" s="8">
        <v>33</v>
      </c>
      <c r="B39" s="8">
        <v>59</v>
      </c>
      <c r="C39" s="8"/>
      <c r="D39" s="16">
        <v>8</v>
      </c>
      <c r="E39" s="17">
        <f>VLOOKUP(D39,'A13 - Tabelle'!$A$6:$F$13,6)</f>
        <v>60640.31999999999</v>
      </c>
      <c r="F39" s="17">
        <f>VLOOKUP(D39,'A13 - Tabelle'!$A$6:$G$13,7)</f>
        <v>44013.52</v>
      </c>
      <c r="G39" s="18">
        <f t="shared" si="0"/>
        <v>41493.52</v>
      </c>
      <c r="H39" s="19"/>
      <c r="I39" s="346">
        <v>7</v>
      </c>
      <c r="J39" s="17">
        <f>VLOOKUP(I39,'E13 - Tabelle'!$A$7:$L$19,11)</f>
        <v>78419.52500000001</v>
      </c>
      <c r="K39" s="20">
        <f>VLOOKUP(I39,'E13 - Tabelle'!$A$7:$L$19,12)</f>
        <v>41114.22</v>
      </c>
      <c r="L39" s="28">
        <f t="shared" si="1"/>
        <v>-379.29999999999563</v>
      </c>
      <c r="M39" s="32">
        <f t="shared" si="13"/>
        <v>-14436.049999999916</v>
      </c>
      <c r="N39" s="8">
        <v>33</v>
      </c>
      <c r="O39" s="8">
        <v>59</v>
      </c>
      <c r="P39" s="47"/>
      <c r="Q39" s="47"/>
      <c r="R39" s="347"/>
      <c r="S39" s="197"/>
      <c r="T39" s="204"/>
      <c r="U39" s="370">
        <f t="shared" si="14"/>
        <v>2.1461282156540777</v>
      </c>
      <c r="V39" s="371"/>
      <c r="W39" s="68">
        <v>0.9</v>
      </c>
      <c r="X39" s="370">
        <f t="shared" si="2"/>
        <v>5.881464375000001</v>
      </c>
      <c r="Y39" s="68"/>
      <c r="Z39" s="372"/>
      <c r="AA39" s="197"/>
      <c r="AB39" s="204"/>
      <c r="AC39" s="205">
        <f t="shared" si="15"/>
        <v>323.025</v>
      </c>
      <c r="AD39" s="205">
        <f t="shared" si="15"/>
        <v>56.418749999999996</v>
      </c>
      <c r="AE39" s="205">
        <f t="shared" si="16"/>
        <v>98.02440625000001</v>
      </c>
      <c r="AF39" s="205">
        <f t="shared" si="16"/>
        <v>607.7513187500001</v>
      </c>
      <c r="AG39" s="205">
        <f t="shared" si="16"/>
        <v>421.5049468750001</v>
      </c>
      <c r="AH39" s="206">
        <f t="shared" si="5"/>
        <v>1506.7244218750002</v>
      </c>
      <c r="AI39" s="206">
        <f t="shared" si="6"/>
        <v>6534.960416666668</v>
      </c>
      <c r="AJ39" s="207">
        <f t="shared" si="7"/>
        <v>8041.684838541668</v>
      </c>
      <c r="AK39" s="208"/>
      <c r="AL39" s="221">
        <f t="shared" si="8"/>
        <v>3426.185</v>
      </c>
      <c r="AM39" s="222">
        <f t="shared" si="9"/>
        <v>4615.4998385416675</v>
      </c>
      <c r="AN39" s="208"/>
      <c r="AO39" s="227">
        <f t="shared" si="17"/>
        <v>323.025</v>
      </c>
      <c r="AP39" s="227">
        <f t="shared" si="17"/>
        <v>56.418749999999996</v>
      </c>
      <c r="AQ39" s="205">
        <f t="shared" si="18"/>
        <v>98.02440625000001</v>
      </c>
      <c r="AR39" s="205">
        <f t="shared" si="18"/>
        <v>607.7513187500001</v>
      </c>
      <c r="AS39" s="205">
        <f t="shared" si="18"/>
        <v>118.28278354166669</v>
      </c>
      <c r="AT39" s="231">
        <f t="shared" si="12"/>
        <v>1203.5022585416668</v>
      </c>
    </row>
    <row r="40" spans="1:46" ht="11.25" customHeight="1">
      <c r="A40" s="8">
        <v>34</v>
      </c>
      <c r="B40" s="8">
        <v>60</v>
      </c>
      <c r="C40" s="8"/>
      <c r="D40" s="16">
        <v>8</v>
      </c>
      <c r="E40" s="17">
        <f>VLOOKUP(D40,'A13 - Tabelle'!$A$6:$F$13,6)</f>
        <v>60640.31999999999</v>
      </c>
      <c r="F40" s="17">
        <f>VLOOKUP(D40,'A13 - Tabelle'!$A$6:$G$13,7)</f>
        <v>44013.52</v>
      </c>
      <c r="G40" s="18">
        <f t="shared" si="0"/>
        <v>41493.52</v>
      </c>
      <c r="H40" s="19"/>
      <c r="I40" s="346">
        <v>7</v>
      </c>
      <c r="J40" s="17">
        <f>VLOOKUP(I40,'E13 - Tabelle'!$A$7:$L$19,11)</f>
        <v>78419.52500000001</v>
      </c>
      <c r="K40" s="20">
        <f>VLOOKUP(I40,'E13 - Tabelle'!$A$7:$L$19,12)</f>
        <v>41114.22</v>
      </c>
      <c r="L40" s="28">
        <f t="shared" si="1"/>
        <v>-379.29999999999563</v>
      </c>
      <c r="M40" s="32">
        <f t="shared" si="13"/>
        <v>-14815.349999999911</v>
      </c>
      <c r="N40" s="8">
        <v>34</v>
      </c>
      <c r="O40" s="8">
        <v>60</v>
      </c>
      <c r="P40" s="47"/>
      <c r="Q40" s="47"/>
      <c r="R40" s="347"/>
      <c r="S40" s="197"/>
      <c r="T40" s="204"/>
      <c r="U40" s="370">
        <f t="shared" si="14"/>
        <v>2.1461282156540777</v>
      </c>
      <c r="V40" s="371"/>
      <c r="W40" s="68">
        <v>0.9</v>
      </c>
      <c r="X40" s="370">
        <f t="shared" si="2"/>
        <v>5.881464375000001</v>
      </c>
      <c r="Y40" s="68"/>
      <c r="Z40" s="372"/>
      <c r="AA40" s="197"/>
      <c r="AB40" s="204"/>
      <c r="AC40" s="205">
        <f t="shared" si="15"/>
        <v>323.025</v>
      </c>
      <c r="AD40" s="205">
        <f t="shared" si="15"/>
        <v>56.418749999999996</v>
      </c>
      <c r="AE40" s="205">
        <f t="shared" si="16"/>
        <v>98.02440625000001</v>
      </c>
      <c r="AF40" s="205">
        <f t="shared" si="16"/>
        <v>607.7513187500001</v>
      </c>
      <c r="AG40" s="205">
        <f t="shared" si="16"/>
        <v>421.5049468750001</v>
      </c>
      <c r="AH40" s="206">
        <f t="shared" si="5"/>
        <v>1506.7244218750002</v>
      </c>
      <c r="AI40" s="206">
        <f t="shared" si="6"/>
        <v>6534.960416666668</v>
      </c>
      <c r="AJ40" s="207">
        <f t="shared" si="7"/>
        <v>8041.684838541668</v>
      </c>
      <c r="AK40" s="208"/>
      <c r="AL40" s="221">
        <f t="shared" si="8"/>
        <v>3426.185</v>
      </c>
      <c r="AM40" s="222">
        <f t="shared" si="9"/>
        <v>4615.4998385416675</v>
      </c>
      <c r="AN40" s="208"/>
      <c r="AO40" s="227">
        <f t="shared" si="17"/>
        <v>323.025</v>
      </c>
      <c r="AP40" s="227">
        <f t="shared" si="17"/>
        <v>56.418749999999996</v>
      </c>
      <c r="AQ40" s="205">
        <f t="shared" si="18"/>
        <v>98.02440625000001</v>
      </c>
      <c r="AR40" s="205">
        <f t="shared" si="18"/>
        <v>607.7513187500001</v>
      </c>
      <c r="AS40" s="205">
        <f t="shared" si="18"/>
        <v>118.28278354166669</v>
      </c>
      <c r="AT40" s="231">
        <f t="shared" si="12"/>
        <v>1203.5022585416668</v>
      </c>
    </row>
    <row r="41" spans="1:46" ht="11.25" customHeight="1">
      <c r="A41" s="8">
        <v>35</v>
      </c>
      <c r="B41" s="8">
        <v>61</v>
      </c>
      <c r="C41" s="8"/>
      <c r="D41" s="16">
        <v>8</v>
      </c>
      <c r="E41" s="17">
        <f>VLOOKUP(D41,'A13 - Tabelle'!$A$6:$F$13,6)</f>
        <v>60640.31999999999</v>
      </c>
      <c r="F41" s="17">
        <f>VLOOKUP(D41,'A13 - Tabelle'!$A$6:$G$13,7)</f>
        <v>44013.52</v>
      </c>
      <c r="G41" s="18">
        <f t="shared" si="0"/>
        <v>41493.52</v>
      </c>
      <c r="H41" s="19"/>
      <c r="I41" s="346">
        <v>7</v>
      </c>
      <c r="J41" s="17">
        <f>VLOOKUP(I41,'E13 - Tabelle'!$A$7:$L$19,11)</f>
        <v>78419.52500000001</v>
      </c>
      <c r="K41" s="20">
        <f>VLOOKUP(I41,'E13 - Tabelle'!$A$7:$L$19,12)</f>
        <v>41114.22</v>
      </c>
      <c r="L41" s="28">
        <f t="shared" si="1"/>
        <v>-379.29999999999563</v>
      </c>
      <c r="M41" s="32">
        <f t="shared" si="13"/>
        <v>-15194.649999999907</v>
      </c>
      <c r="N41" s="8">
        <v>35</v>
      </c>
      <c r="O41" s="8">
        <v>61</v>
      </c>
      <c r="P41" s="47"/>
      <c r="Q41" s="47"/>
      <c r="R41" s="347"/>
      <c r="S41" s="197"/>
      <c r="T41" s="204"/>
      <c r="U41" s="370">
        <f t="shared" si="14"/>
        <v>2.1461282156540777</v>
      </c>
      <c r="V41" s="371"/>
      <c r="W41" s="68">
        <v>0.9</v>
      </c>
      <c r="X41" s="370">
        <f t="shared" si="2"/>
        <v>5.881464375000001</v>
      </c>
      <c r="Y41" s="68"/>
      <c r="Z41" s="372"/>
      <c r="AA41" s="197"/>
      <c r="AB41" s="204"/>
      <c r="AC41" s="205">
        <f t="shared" si="15"/>
        <v>323.025</v>
      </c>
      <c r="AD41" s="205">
        <f t="shared" si="15"/>
        <v>56.418749999999996</v>
      </c>
      <c r="AE41" s="205">
        <f t="shared" si="16"/>
        <v>98.02440625000001</v>
      </c>
      <c r="AF41" s="205">
        <f t="shared" si="16"/>
        <v>607.7513187500001</v>
      </c>
      <c r="AG41" s="205">
        <f t="shared" si="16"/>
        <v>421.5049468750001</v>
      </c>
      <c r="AH41" s="206">
        <f t="shared" si="5"/>
        <v>1506.7244218750002</v>
      </c>
      <c r="AI41" s="206">
        <f t="shared" si="6"/>
        <v>6534.960416666668</v>
      </c>
      <c r="AJ41" s="207">
        <f t="shared" si="7"/>
        <v>8041.684838541668</v>
      </c>
      <c r="AK41" s="208"/>
      <c r="AL41" s="221">
        <f t="shared" si="8"/>
        <v>3426.185</v>
      </c>
      <c r="AM41" s="222">
        <f t="shared" si="9"/>
        <v>4615.4998385416675</v>
      </c>
      <c r="AN41" s="208"/>
      <c r="AO41" s="227">
        <f t="shared" si="17"/>
        <v>323.025</v>
      </c>
      <c r="AP41" s="227">
        <f t="shared" si="17"/>
        <v>56.418749999999996</v>
      </c>
      <c r="AQ41" s="205">
        <f t="shared" si="18"/>
        <v>98.02440625000001</v>
      </c>
      <c r="AR41" s="205">
        <f t="shared" si="18"/>
        <v>607.7513187500001</v>
      </c>
      <c r="AS41" s="205">
        <f t="shared" si="18"/>
        <v>118.28278354166669</v>
      </c>
      <c r="AT41" s="231">
        <f t="shared" si="12"/>
        <v>1203.5022585416668</v>
      </c>
    </row>
    <row r="42" spans="1:46" ht="11.25" customHeight="1">
      <c r="A42" s="8">
        <v>36</v>
      </c>
      <c r="B42" s="8">
        <v>62</v>
      </c>
      <c r="C42" s="8"/>
      <c r="D42" s="16">
        <v>8</v>
      </c>
      <c r="E42" s="17">
        <f>VLOOKUP(D42,'A13 - Tabelle'!$A$6:$F$13,6)</f>
        <v>60640.31999999999</v>
      </c>
      <c r="F42" s="17">
        <f>VLOOKUP(D42,'A13 - Tabelle'!$A$6:$G$13,7)</f>
        <v>44013.52</v>
      </c>
      <c r="G42" s="18">
        <f t="shared" si="0"/>
        <v>41493.52</v>
      </c>
      <c r="H42" s="19"/>
      <c r="I42" s="346">
        <v>7</v>
      </c>
      <c r="J42" s="17">
        <f>VLOOKUP(I42,'E13 - Tabelle'!$A$7:$L$19,11)</f>
        <v>78419.52500000001</v>
      </c>
      <c r="K42" s="20">
        <f>VLOOKUP(I42,'E13 - Tabelle'!$A$7:$L$19,12)</f>
        <v>41114.22</v>
      </c>
      <c r="L42" s="28">
        <f t="shared" si="1"/>
        <v>-379.29999999999563</v>
      </c>
      <c r="M42" s="32">
        <f t="shared" si="13"/>
        <v>-15573.949999999903</v>
      </c>
      <c r="N42" s="8">
        <v>36</v>
      </c>
      <c r="O42" s="8">
        <v>62</v>
      </c>
      <c r="P42" s="47"/>
      <c r="Q42" s="47"/>
      <c r="R42" s="347"/>
      <c r="S42" s="197"/>
      <c r="T42" s="204"/>
      <c r="U42" s="370">
        <f t="shared" si="14"/>
        <v>2.1461282156540777</v>
      </c>
      <c r="V42" s="371"/>
      <c r="W42" s="68">
        <v>0.8</v>
      </c>
      <c r="X42" s="370">
        <f t="shared" si="2"/>
        <v>5.227968333333334</v>
      </c>
      <c r="Y42" s="68"/>
      <c r="Z42" s="372"/>
      <c r="AA42" s="197"/>
      <c r="AB42" s="204"/>
      <c r="AC42" s="205">
        <f t="shared" si="15"/>
        <v>323.025</v>
      </c>
      <c r="AD42" s="205">
        <f t="shared" si="15"/>
        <v>56.418749999999996</v>
      </c>
      <c r="AE42" s="205">
        <f t="shared" si="16"/>
        <v>98.02440625000001</v>
      </c>
      <c r="AF42" s="205">
        <f t="shared" si="16"/>
        <v>607.7513187500001</v>
      </c>
      <c r="AG42" s="205">
        <f t="shared" si="16"/>
        <v>421.5049468750001</v>
      </c>
      <c r="AH42" s="206">
        <f t="shared" si="5"/>
        <v>1506.7244218750002</v>
      </c>
      <c r="AI42" s="206">
        <f t="shared" si="6"/>
        <v>6534.960416666668</v>
      </c>
      <c r="AJ42" s="207">
        <f t="shared" si="7"/>
        <v>8041.684838541668</v>
      </c>
      <c r="AK42" s="208"/>
      <c r="AL42" s="221">
        <f t="shared" si="8"/>
        <v>3426.185</v>
      </c>
      <c r="AM42" s="222">
        <f t="shared" si="9"/>
        <v>4615.4998385416675</v>
      </c>
      <c r="AN42" s="208"/>
      <c r="AO42" s="227">
        <f t="shared" si="17"/>
        <v>323.025</v>
      </c>
      <c r="AP42" s="227">
        <f t="shared" si="17"/>
        <v>56.418749999999996</v>
      </c>
      <c r="AQ42" s="205">
        <f t="shared" si="18"/>
        <v>98.02440625000001</v>
      </c>
      <c r="AR42" s="205">
        <f t="shared" si="18"/>
        <v>607.7513187500001</v>
      </c>
      <c r="AS42" s="205">
        <f t="shared" si="18"/>
        <v>118.28278354166669</v>
      </c>
      <c r="AT42" s="231">
        <f t="shared" si="12"/>
        <v>1203.5022585416668</v>
      </c>
    </row>
    <row r="43" spans="1:46" ht="11.25" customHeight="1">
      <c r="A43" s="8">
        <v>37</v>
      </c>
      <c r="B43" s="8">
        <v>63</v>
      </c>
      <c r="C43" s="8"/>
      <c r="D43" s="16">
        <v>8</v>
      </c>
      <c r="E43" s="17">
        <f>VLOOKUP(D43,'A13 - Tabelle'!$A$6:$F$13,6)</f>
        <v>60640.31999999999</v>
      </c>
      <c r="F43" s="17">
        <f>VLOOKUP(D43,'A13 - Tabelle'!$A$6:$G$13,7)</f>
        <v>44013.52</v>
      </c>
      <c r="G43" s="18">
        <f t="shared" si="0"/>
        <v>41493.52</v>
      </c>
      <c r="H43" s="19"/>
      <c r="I43" s="346">
        <v>7</v>
      </c>
      <c r="J43" s="17">
        <f>VLOOKUP(I43,'E13 - Tabelle'!$A$7:$L$19,11)</f>
        <v>78419.52500000001</v>
      </c>
      <c r="K43" s="20">
        <f>VLOOKUP(I43,'E13 - Tabelle'!$A$7:$L$19,12)</f>
        <v>41114.22</v>
      </c>
      <c r="L43" s="28">
        <f t="shared" si="1"/>
        <v>-379.29999999999563</v>
      </c>
      <c r="M43" s="32">
        <f t="shared" si="13"/>
        <v>-15953.249999999898</v>
      </c>
      <c r="N43" s="8">
        <v>37</v>
      </c>
      <c r="O43" s="8">
        <v>63</v>
      </c>
      <c r="P43" s="47"/>
      <c r="Q43" s="47"/>
      <c r="R43" s="347"/>
      <c r="S43" s="197"/>
      <c r="T43" s="204"/>
      <c r="U43" s="370">
        <f t="shared" si="14"/>
        <v>2.1461282156540777</v>
      </c>
      <c r="V43" s="371"/>
      <c r="W43" s="68">
        <v>0.8</v>
      </c>
      <c r="X43" s="370">
        <f t="shared" si="2"/>
        <v>5.227968333333334</v>
      </c>
      <c r="Y43" s="68"/>
      <c r="Z43" s="372"/>
      <c r="AA43" s="197"/>
      <c r="AB43" s="204"/>
      <c r="AC43" s="205">
        <f t="shared" si="15"/>
        <v>323.025</v>
      </c>
      <c r="AD43" s="205">
        <f t="shared" si="15"/>
        <v>56.418749999999996</v>
      </c>
      <c r="AE43" s="205">
        <f t="shared" si="16"/>
        <v>98.02440625000001</v>
      </c>
      <c r="AF43" s="205">
        <f t="shared" si="16"/>
        <v>607.7513187500001</v>
      </c>
      <c r="AG43" s="205">
        <f t="shared" si="16"/>
        <v>421.5049468750001</v>
      </c>
      <c r="AH43" s="206">
        <f t="shared" si="5"/>
        <v>1506.7244218750002</v>
      </c>
      <c r="AI43" s="206">
        <f t="shared" si="6"/>
        <v>6534.960416666668</v>
      </c>
      <c r="AJ43" s="207">
        <f t="shared" si="7"/>
        <v>8041.684838541668</v>
      </c>
      <c r="AK43" s="208"/>
      <c r="AL43" s="221">
        <f t="shared" si="8"/>
        <v>3426.185</v>
      </c>
      <c r="AM43" s="222">
        <f t="shared" si="9"/>
        <v>4615.4998385416675</v>
      </c>
      <c r="AN43" s="208"/>
      <c r="AO43" s="227">
        <f t="shared" si="17"/>
        <v>323.025</v>
      </c>
      <c r="AP43" s="227">
        <f t="shared" si="17"/>
        <v>56.418749999999996</v>
      </c>
      <c r="AQ43" s="205">
        <f t="shared" si="18"/>
        <v>98.02440625000001</v>
      </c>
      <c r="AR43" s="205">
        <f t="shared" si="18"/>
        <v>607.7513187500001</v>
      </c>
      <c r="AS43" s="205">
        <f t="shared" si="18"/>
        <v>118.28278354166669</v>
      </c>
      <c r="AT43" s="231">
        <f t="shared" si="12"/>
        <v>1203.5022585416668</v>
      </c>
    </row>
    <row r="44" spans="1:46" ht="11.25" customHeight="1">
      <c r="A44" s="8">
        <v>38</v>
      </c>
      <c r="B44" s="8">
        <v>64</v>
      </c>
      <c r="C44" s="8"/>
      <c r="D44" s="16">
        <v>8</v>
      </c>
      <c r="E44" s="17">
        <f>VLOOKUP(D44,'A13 - Tabelle'!$A$6:$F$13,6)</f>
        <v>60640.31999999999</v>
      </c>
      <c r="F44" s="17">
        <f>VLOOKUP(D44,'A13 - Tabelle'!$A$6:$G$13,7)</f>
        <v>44013.52</v>
      </c>
      <c r="G44" s="18">
        <f t="shared" si="0"/>
        <v>41493.52</v>
      </c>
      <c r="H44" s="19"/>
      <c r="I44" s="346">
        <v>7</v>
      </c>
      <c r="J44" s="17">
        <f>VLOOKUP(I44,'E13 - Tabelle'!$A$7:$L$19,11)</f>
        <v>78419.52500000001</v>
      </c>
      <c r="K44" s="20">
        <f>VLOOKUP(I44,'E13 - Tabelle'!$A$7:$L$19,12)</f>
        <v>41114.22</v>
      </c>
      <c r="L44" s="28">
        <f t="shared" si="1"/>
        <v>-379.29999999999563</v>
      </c>
      <c r="M44" s="32">
        <f t="shared" si="13"/>
        <v>-16332.549999999894</v>
      </c>
      <c r="N44" s="8">
        <v>38</v>
      </c>
      <c r="O44" s="8">
        <v>64</v>
      </c>
      <c r="P44" s="47"/>
      <c r="Q44" s="47"/>
      <c r="R44" s="347"/>
      <c r="S44" s="197"/>
      <c r="T44" s="204"/>
      <c r="U44" s="370">
        <f t="shared" si="14"/>
        <v>2.1461282156540777</v>
      </c>
      <c r="V44" s="371"/>
      <c r="W44" s="68">
        <v>0.8</v>
      </c>
      <c r="X44" s="370">
        <f t="shared" si="2"/>
        <v>5.227968333333334</v>
      </c>
      <c r="Y44" s="68"/>
      <c r="Z44" s="372"/>
      <c r="AA44" s="197"/>
      <c r="AB44" s="204"/>
      <c r="AC44" s="205">
        <f t="shared" si="15"/>
        <v>323.025</v>
      </c>
      <c r="AD44" s="205">
        <f t="shared" si="15"/>
        <v>56.418749999999996</v>
      </c>
      <c r="AE44" s="205">
        <f t="shared" si="16"/>
        <v>98.02440625000001</v>
      </c>
      <c r="AF44" s="205">
        <f t="shared" si="16"/>
        <v>607.7513187500001</v>
      </c>
      <c r="AG44" s="205">
        <f t="shared" si="16"/>
        <v>421.5049468750001</v>
      </c>
      <c r="AH44" s="206">
        <f t="shared" si="5"/>
        <v>1506.7244218750002</v>
      </c>
      <c r="AI44" s="206">
        <f t="shared" si="6"/>
        <v>6534.960416666668</v>
      </c>
      <c r="AJ44" s="207">
        <f t="shared" si="7"/>
        <v>8041.684838541668</v>
      </c>
      <c r="AK44" s="208"/>
      <c r="AL44" s="221">
        <f t="shared" si="8"/>
        <v>3426.185</v>
      </c>
      <c r="AM44" s="222">
        <f t="shared" si="9"/>
        <v>4615.4998385416675</v>
      </c>
      <c r="AN44" s="208"/>
      <c r="AO44" s="227">
        <f t="shared" si="17"/>
        <v>323.025</v>
      </c>
      <c r="AP44" s="227">
        <f t="shared" si="17"/>
        <v>56.418749999999996</v>
      </c>
      <c r="AQ44" s="205">
        <f t="shared" si="18"/>
        <v>98.02440625000001</v>
      </c>
      <c r="AR44" s="205">
        <f t="shared" si="18"/>
        <v>607.7513187500001</v>
      </c>
      <c r="AS44" s="205">
        <f t="shared" si="18"/>
        <v>118.28278354166669</v>
      </c>
      <c r="AT44" s="231">
        <f t="shared" si="12"/>
        <v>1203.5022585416668</v>
      </c>
    </row>
    <row r="45" spans="1:46" ht="11.25" customHeight="1">
      <c r="A45" s="8">
        <v>39</v>
      </c>
      <c r="B45" s="8">
        <v>65</v>
      </c>
      <c r="C45" s="8"/>
      <c r="D45" s="16">
        <v>8</v>
      </c>
      <c r="E45" s="17">
        <f>VLOOKUP(D45,'A13 - Tabelle'!$A$6:$F$13,6)</f>
        <v>60640.31999999999</v>
      </c>
      <c r="F45" s="17">
        <f>VLOOKUP(D45,'A13 - Tabelle'!$A$6:$G$13,7)</f>
        <v>44013.52</v>
      </c>
      <c r="G45" s="18">
        <f t="shared" si="0"/>
        <v>41493.52</v>
      </c>
      <c r="H45" s="19"/>
      <c r="I45" s="346">
        <v>7</v>
      </c>
      <c r="J45" s="17">
        <f>VLOOKUP(I45,'E13 - Tabelle'!$A$7:$L$19,11)</f>
        <v>78419.52500000001</v>
      </c>
      <c r="K45" s="20">
        <f>VLOOKUP(I45,'E13 - Tabelle'!$A$7:$L$19,12)</f>
        <v>41114.22</v>
      </c>
      <c r="L45" s="28">
        <f t="shared" si="1"/>
        <v>-379.29999999999563</v>
      </c>
      <c r="M45" s="32">
        <f t="shared" si="13"/>
        <v>-16711.84999999989</v>
      </c>
      <c r="N45" s="8">
        <v>39</v>
      </c>
      <c r="O45" s="8">
        <v>65</v>
      </c>
      <c r="P45" s="20" t="s">
        <v>143</v>
      </c>
      <c r="Q45" s="47"/>
      <c r="R45" s="347"/>
      <c r="S45" s="197"/>
      <c r="T45" s="204"/>
      <c r="U45" s="370">
        <f t="shared" si="14"/>
        <v>2.1461282156540777</v>
      </c>
      <c r="V45" s="371"/>
      <c r="W45" s="68">
        <v>0.8</v>
      </c>
      <c r="X45" s="370">
        <f t="shared" si="2"/>
        <v>5.227968333333334</v>
      </c>
      <c r="Y45" s="68"/>
      <c r="Z45" s="372"/>
      <c r="AA45" s="197"/>
      <c r="AB45" s="204"/>
      <c r="AC45" s="205">
        <f t="shared" si="15"/>
        <v>323.025</v>
      </c>
      <c r="AD45" s="205">
        <f t="shared" si="15"/>
        <v>56.418749999999996</v>
      </c>
      <c r="AE45" s="205">
        <f t="shared" si="16"/>
        <v>98.02440625000001</v>
      </c>
      <c r="AF45" s="205">
        <f t="shared" si="16"/>
        <v>607.7513187500001</v>
      </c>
      <c r="AG45" s="205">
        <f t="shared" si="16"/>
        <v>421.5049468750001</v>
      </c>
      <c r="AH45" s="206">
        <f t="shared" si="5"/>
        <v>1506.7244218750002</v>
      </c>
      <c r="AI45" s="206">
        <f t="shared" si="6"/>
        <v>6534.960416666668</v>
      </c>
      <c r="AJ45" s="207">
        <f t="shared" si="7"/>
        <v>8041.684838541668</v>
      </c>
      <c r="AK45" s="208"/>
      <c r="AL45" s="221">
        <f t="shared" si="8"/>
        <v>3426.185</v>
      </c>
      <c r="AM45" s="222">
        <f t="shared" si="9"/>
        <v>4615.4998385416675</v>
      </c>
      <c r="AN45" s="208"/>
      <c r="AO45" s="227">
        <f t="shared" si="17"/>
        <v>323.025</v>
      </c>
      <c r="AP45" s="227">
        <f t="shared" si="17"/>
        <v>56.418749999999996</v>
      </c>
      <c r="AQ45" s="205">
        <f t="shared" si="18"/>
        <v>98.02440625000001</v>
      </c>
      <c r="AR45" s="205">
        <f t="shared" si="18"/>
        <v>607.7513187500001</v>
      </c>
      <c r="AS45" s="205">
        <f t="shared" si="18"/>
        <v>118.28278354166669</v>
      </c>
      <c r="AT45" s="231">
        <f t="shared" si="12"/>
        <v>1203.5022585416668</v>
      </c>
    </row>
    <row r="46" spans="1:46" ht="11.25" customHeight="1">
      <c r="A46" s="8">
        <v>40</v>
      </c>
      <c r="B46" s="216">
        <v>66</v>
      </c>
      <c r="C46" s="8"/>
      <c r="D46" s="21">
        <v>8</v>
      </c>
      <c r="E46" s="17">
        <f>VLOOKUP(D46,'A13 - Tabelle'!$A$6:$F$13,6)</f>
        <v>60640.31999999999</v>
      </c>
      <c r="F46" s="17">
        <f>VLOOKUP(D46,'A13 - Tabelle'!$A$6:$G$13,7)</f>
        <v>44013.52</v>
      </c>
      <c r="G46" s="18">
        <f t="shared" si="0"/>
        <v>41493.52</v>
      </c>
      <c r="H46" s="19"/>
      <c r="I46" s="346">
        <v>7</v>
      </c>
      <c r="J46" s="17">
        <f>VLOOKUP(I46,'E13 - Tabelle'!$A$7:$L$19,11)</f>
        <v>78419.52500000001</v>
      </c>
      <c r="K46" s="20">
        <f>VLOOKUP(I46,'E13 - Tabelle'!$A$7:$L$19,12)</f>
        <v>41114.22</v>
      </c>
      <c r="L46" s="65">
        <f t="shared" si="1"/>
        <v>-379.29999999999563</v>
      </c>
      <c r="M46" s="66">
        <f t="shared" si="13"/>
        <v>-17091.149999999885</v>
      </c>
      <c r="N46" s="8">
        <v>40</v>
      </c>
      <c r="O46" s="216">
        <v>66</v>
      </c>
      <c r="P46" s="20" t="s">
        <v>144</v>
      </c>
      <c r="Q46" s="47"/>
      <c r="R46" s="347"/>
      <c r="S46" s="197"/>
      <c r="T46" s="204"/>
      <c r="U46" s="370">
        <f t="shared" si="14"/>
        <v>2.1461282156540777</v>
      </c>
      <c r="V46" s="371"/>
      <c r="W46" s="68">
        <v>0.8</v>
      </c>
      <c r="X46" s="370">
        <f t="shared" si="2"/>
        <v>5.227968333333334</v>
      </c>
      <c r="Y46" s="68"/>
      <c r="Z46" s="372"/>
      <c r="AA46" s="197"/>
      <c r="AB46" s="209"/>
      <c r="AC46" s="205">
        <f t="shared" si="15"/>
        <v>323.025</v>
      </c>
      <c r="AD46" s="205">
        <f t="shared" si="15"/>
        <v>56.418749999999996</v>
      </c>
      <c r="AE46" s="205">
        <f t="shared" si="16"/>
        <v>98.02440625000001</v>
      </c>
      <c r="AF46" s="205">
        <f t="shared" si="16"/>
        <v>607.7513187500001</v>
      </c>
      <c r="AG46" s="205">
        <f t="shared" si="16"/>
        <v>421.5049468750001</v>
      </c>
      <c r="AH46" s="206">
        <f t="shared" si="5"/>
        <v>1506.7244218750002</v>
      </c>
      <c r="AI46" s="206">
        <f t="shared" si="6"/>
        <v>6534.960416666668</v>
      </c>
      <c r="AJ46" s="207">
        <f t="shared" si="7"/>
        <v>8041.684838541668</v>
      </c>
      <c r="AK46" s="208"/>
      <c r="AL46" s="221">
        <f t="shared" si="8"/>
        <v>3426.185</v>
      </c>
      <c r="AM46" s="222">
        <f t="shared" si="9"/>
        <v>4615.4998385416675</v>
      </c>
      <c r="AN46" s="208"/>
      <c r="AO46" s="227">
        <f t="shared" si="17"/>
        <v>323.025</v>
      </c>
      <c r="AP46" s="227">
        <f t="shared" si="17"/>
        <v>56.418749999999996</v>
      </c>
      <c r="AQ46" s="205">
        <f t="shared" si="18"/>
        <v>98.02440625000001</v>
      </c>
      <c r="AR46" s="205">
        <f t="shared" si="18"/>
        <v>607.7513187500001</v>
      </c>
      <c r="AS46" s="205">
        <f t="shared" si="18"/>
        <v>118.28278354166669</v>
      </c>
      <c r="AT46" s="231">
        <f t="shared" si="12"/>
        <v>1203.5022585416668</v>
      </c>
    </row>
    <row r="47" spans="1:46" s="114" customFormat="1" ht="15.75" thickBot="1">
      <c r="A47" s="108"/>
      <c r="B47" s="108"/>
      <c r="C47" s="108"/>
      <c r="D47" s="105" t="s">
        <v>7</v>
      </c>
      <c r="E47" s="109">
        <f>AVERAGE(E7:E46)</f>
        <v>57409.91100000002</v>
      </c>
      <c r="F47" s="109">
        <f>AVERAGE(F7:F46)</f>
        <v>42192.22325000001</v>
      </c>
      <c r="G47" s="99">
        <f>AVERAGE(G7:G46)</f>
        <v>39672.22325000001</v>
      </c>
      <c r="H47" s="110"/>
      <c r="I47" s="105" t="s">
        <v>7</v>
      </c>
      <c r="J47" s="109">
        <f>AVERAGE(J7:J46)</f>
        <v>74043.68999999994</v>
      </c>
      <c r="K47" s="106">
        <f>AVERAGE(K7:K46)</f>
        <v>39244.94449999998</v>
      </c>
      <c r="L47" s="111">
        <f>AVERAGE(L7:L46)</f>
        <v>-427.2787499999971</v>
      </c>
      <c r="M47" s="112"/>
      <c r="N47" s="404">
        <f>L47*40</f>
        <v>-17091.149999999885</v>
      </c>
      <c r="O47" s="405"/>
      <c r="P47" s="405"/>
      <c r="Q47" s="113"/>
      <c r="R47" s="348"/>
      <c r="S47" s="253"/>
      <c r="T47" s="210" t="s">
        <v>134</v>
      </c>
      <c r="U47" s="373">
        <f>SUM(U7:U46)</f>
        <v>81.05494252873564</v>
      </c>
      <c r="V47" s="374">
        <f>U47*V5</f>
        <v>2596.1898091954026</v>
      </c>
      <c r="W47" s="375"/>
      <c r="X47" s="373">
        <f>SUM(X7:X46)</f>
        <v>320.06220166666657</v>
      </c>
      <c r="Y47" s="376">
        <f>X47*Y5</f>
        <v>1280.2488066666663</v>
      </c>
      <c r="Z47" s="377">
        <f>V47+Y47</f>
        <v>3876.438615862069</v>
      </c>
      <c r="AA47" s="253"/>
      <c r="AB47" s="210" t="s">
        <v>7</v>
      </c>
      <c r="AC47" s="211">
        <f aca="true" t="shared" si="19" ref="AC47:AJ47">AVERAGE(AC7:AC46)</f>
        <v>323.02499999999975</v>
      </c>
      <c r="AD47" s="211">
        <f t="shared" si="19"/>
        <v>56.41875000000001</v>
      </c>
      <c r="AE47" s="211">
        <f t="shared" si="19"/>
        <v>92.55461250000005</v>
      </c>
      <c r="AF47" s="211">
        <f t="shared" si="19"/>
        <v>573.8385975000004</v>
      </c>
      <c r="AG47" s="211">
        <f t="shared" si="19"/>
        <v>397.98483375000023</v>
      </c>
      <c r="AH47" s="212">
        <f t="shared" si="19"/>
        <v>1443.821793749999</v>
      </c>
      <c r="AI47" s="212">
        <f t="shared" si="19"/>
        <v>6170.307500000001</v>
      </c>
      <c r="AJ47" s="214">
        <f t="shared" si="19"/>
        <v>7614.129293750001</v>
      </c>
      <c r="AK47" s="208"/>
      <c r="AL47" s="223">
        <f>AVERAGE(AL7:AL46)</f>
        <v>3270.412041666665</v>
      </c>
      <c r="AM47" s="214">
        <f>AVERAGE(AM7:AM46)</f>
        <v>4343.717252083336</v>
      </c>
      <c r="AN47" s="208"/>
      <c r="AO47" s="228">
        <f aca="true" t="shared" si="20" ref="AO47:AT47">AVERAGE(AO7:AO46)</f>
        <v>323.02499999999975</v>
      </c>
      <c r="AP47" s="211">
        <f t="shared" si="20"/>
        <v>56.41875000000001</v>
      </c>
      <c r="AQ47" s="211">
        <f t="shared" si="20"/>
        <v>92.55461250000005</v>
      </c>
      <c r="AR47" s="211">
        <f t="shared" si="20"/>
        <v>573.8385975000004</v>
      </c>
      <c r="AS47" s="211">
        <f t="shared" si="20"/>
        <v>111.68256574999994</v>
      </c>
      <c r="AT47" s="213">
        <f t="shared" si="20"/>
        <v>1157.5195257499997</v>
      </c>
    </row>
    <row r="48" spans="4:46" s="165" customFormat="1" ht="13.5" thickTop="1">
      <c r="D48" s="162" t="s">
        <v>47</v>
      </c>
      <c r="E48" s="163">
        <f>E47/12</f>
        <v>4784.1592500000015</v>
      </c>
      <c r="F48" s="163">
        <f>F47/12</f>
        <v>3516.0186041666675</v>
      </c>
      <c r="G48" s="163">
        <f>G47/12</f>
        <v>3306.0186041666675</v>
      </c>
      <c r="H48" s="163"/>
      <c r="I48" s="164"/>
      <c r="J48" s="163">
        <f>J47/12</f>
        <v>6170.307499999995</v>
      </c>
      <c r="K48" s="163">
        <f>K47/12</f>
        <v>3270.412041666665</v>
      </c>
      <c r="L48" s="163">
        <f>L47/12</f>
        <v>-35.60656249999976</v>
      </c>
      <c r="M48" s="31"/>
      <c r="N48" s="31"/>
      <c r="O48" s="31"/>
      <c r="P48" s="31"/>
      <c r="Q48" s="31"/>
      <c r="R48" s="348"/>
      <c r="S48" s="230"/>
      <c r="T48" s="365"/>
      <c r="U48" s="365"/>
      <c r="V48" s="365"/>
      <c r="W48" s="365"/>
      <c r="X48" s="365"/>
      <c r="AA48" s="230"/>
      <c r="AB48" s="9" t="s">
        <v>145</v>
      </c>
      <c r="AC48" s="215"/>
      <c r="AD48" s="215"/>
      <c r="AK48" s="161"/>
      <c r="AL48" s="161"/>
      <c r="AM48" s="161"/>
      <c r="AN48" s="161"/>
      <c r="AO48" s="161"/>
      <c r="AP48" s="161"/>
      <c r="AQ48" s="161"/>
      <c r="AR48" s="161"/>
      <c r="AS48" s="161"/>
      <c r="AT48" s="161"/>
    </row>
    <row r="49" spans="1:46" ht="12.75">
      <c r="A49" s="349"/>
      <c r="B49" s="349"/>
      <c r="C49" s="349"/>
      <c r="D49" s="347"/>
      <c r="E49" s="350"/>
      <c r="F49" s="351"/>
      <c r="G49" s="352"/>
      <c r="H49" s="353"/>
      <c r="I49" s="347"/>
      <c r="J49" s="350"/>
      <c r="K49" s="352"/>
      <c r="L49" s="354"/>
      <c r="M49" s="354"/>
      <c r="N49" s="355"/>
      <c r="O49" s="356"/>
      <c r="P49" s="357"/>
      <c r="Q49" s="357"/>
      <c r="R49" s="347"/>
      <c r="S49" s="197"/>
      <c r="AA49" s="197"/>
      <c r="AB49" s="217" t="s">
        <v>97</v>
      </c>
      <c r="AG49" s="218"/>
      <c r="AH49" s="216"/>
      <c r="AI49" s="216"/>
      <c r="AJ49" s="215"/>
      <c r="AK49" s="215"/>
      <c r="AL49" s="40"/>
      <c r="AN49" s="215"/>
      <c r="AP49" s="215"/>
      <c r="AQ49" s="215"/>
      <c r="AS49" s="215"/>
      <c r="AT49" s="216"/>
    </row>
    <row r="50" spans="9:32" ht="12.75">
      <c r="I50" s="242" t="s">
        <v>78</v>
      </c>
      <c r="J50" s="163">
        <f>J48-'E13 - Modell'!J48</f>
        <v>792.1134895833284</v>
      </c>
      <c r="K50" s="163">
        <f>K48-'E13 - Modell'!K48</f>
        <v>337.5932083333323</v>
      </c>
      <c r="AB50" s="40" t="s">
        <v>71</v>
      </c>
      <c r="AC50" s="218"/>
      <c r="AD50" s="240" t="s">
        <v>74</v>
      </c>
      <c r="AE50" s="218"/>
      <c r="AF50" s="218"/>
    </row>
    <row r="51" ht="12.75">
      <c r="AD51" s="301" t="s">
        <v>72</v>
      </c>
    </row>
    <row r="52" ht="12.75">
      <c r="AD52" s="240" t="s">
        <v>96</v>
      </c>
    </row>
    <row r="53" ht="12.75">
      <c r="AD53" s="240" t="s">
        <v>95</v>
      </c>
    </row>
  </sheetData>
  <sheetProtection/>
  <mergeCells count="3">
    <mergeCell ref="D5:G5"/>
    <mergeCell ref="I5:M5"/>
    <mergeCell ref="N47:P47"/>
  </mergeCells>
  <hyperlinks>
    <hyperlink ref="AD51" r:id="rId1" display="http://www.aok-bv.de/zahlen/gesundheitswesen/index_00529.html"/>
    <hyperlink ref="AD50" r:id="rId2" display="http://www.lohn-info.de/beitragsberechnung.html"/>
    <hyperlink ref="AD52" r:id="rId3" display="http://www.krankenkassen.de/gesetzliche-krankenkassen/system-gesetzliche-krankenversicherung/sozialversicherung-rechengroessen-beitragsbemessungsgrenze-versicherungspflichtgrenze/rechengroessen-2012/"/>
  </hyperlinks>
  <printOptions/>
  <pageMargins left="0.57" right="0.18" top="0.19" bottom="0.2" header="0.19" footer="0.17"/>
  <pageSetup horizontalDpi="600" verticalDpi="600" orientation="landscape" paperSize="9" r:id="rId4"/>
</worksheet>
</file>

<file path=xl/worksheets/sheet12.xml><?xml version="1.0" encoding="utf-8"?>
<worksheet xmlns="http://schemas.openxmlformats.org/spreadsheetml/2006/main" xmlns:r="http://schemas.openxmlformats.org/officeDocument/2006/relationships">
  <dimension ref="A1:V50"/>
  <sheetViews>
    <sheetView zoomScalePageLayoutView="0" workbookViewId="0" topLeftCell="A5">
      <selection activeCell="T4" sqref="T4"/>
    </sheetView>
  </sheetViews>
  <sheetFormatPr defaultColWidth="11.421875" defaultRowHeight="12.75"/>
  <cols>
    <col min="1" max="1" width="5.7109375" style="5" customWidth="1"/>
    <col min="2" max="2" width="3.8515625" style="5" customWidth="1"/>
    <col min="3" max="3" width="2.28125" style="5" customWidth="1"/>
    <col min="4" max="4" width="4.421875" style="0" customWidth="1"/>
    <col min="5" max="5" width="11.00390625" style="3" customWidth="1"/>
    <col min="6" max="6" width="11.140625" style="6" customWidth="1"/>
    <col min="7" max="7" width="13.7109375" style="4" customWidth="1"/>
    <col min="8" max="8" width="2.421875" style="7" customWidth="1"/>
    <col min="9" max="9" width="4.140625" style="0" customWidth="1"/>
    <col min="10" max="10" width="6.140625" style="0" customWidth="1"/>
    <col min="11" max="11" width="11.421875" style="3" customWidth="1"/>
    <col min="12" max="12" width="11.57421875" style="4" customWidth="1"/>
    <col min="13" max="13" width="11.421875" style="26" customWidth="1"/>
    <col min="14" max="14" width="11.00390625" style="26" customWidth="1"/>
    <col min="15" max="15" width="13.8515625" style="6" customWidth="1"/>
    <col min="16" max="16" width="3.7109375" style="0" customWidth="1"/>
    <col min="17" max="17" width="3.8515625" style="0" customWidth="1"/>
    <col min="18" max="18" width="3.421875" style="0" customWidth="1"/>
    <col min="20" max="20" width="10.00390625" style="0" customWidth="1"/>
    <col min="21" max="21" width="10.28125" style="5" customWidth="1"/>
  </cols>
  <sheetData>
    <row r="1" spans="4:22" ht="12.75" customHeight="1">
      <c r="D1" s="34" t="s">
        <v>26</v>
      </c>
      <c r="J1" s="22" t="s">
        <v>123</v>
      </c>
      <c r="K1" s="33">
        <v>210</v>
      </c>
      <c r="P1" s="244"/>
      <c r="R1" s="197"/>
      <c r="T1" s="237" t="s">
        <v>67</v>
      </c>
      <c r="U1" s="238" t="s">
        <v>68</v>
      </c>
      <c r="V1" s="2"/>
    </row>
    <row r="2" spans="16:22" ht="2.25" customHeight="1">
      <c r="P2" s="244"/>
      <c r="R2" s="197"/>
      <c r="T2" s="68"/>
      <c r="U2" s="180"/>
      <c r="V2" s="2"/>
    </row>
    <row r="3" spans="1:22" ht="12.75">
      <c r="A3" s="8"/>
      <c r="B3" s="8"/>
      <c r="C3" s="8"/>
      <c r="D3" s="40" t="s">
        <v>125</v>
      </c>
      <c r="E3" s="10"/>
      <c r="F3" s="10"/>
      <c r="G3" s="11"/>
      <c r="H3" s="12"/>
      <c r="I3" s="90"/>
      <c r="J3" s="90"/>
      <c r="K3" s="91"/>
      <c r="L3" s="92"/>
      <c r="M3" s="93"/>
      <c r="N3" s="27"/>
      <c r="O3" s="23"/>
      <c r="P3" s="244"/>
      <c r="R3" s="197"/>
      <c r="T3" s="205">
        <v>1450.31</v>
      </c>
      <c r="U3" s="205"/>
      <c r="V3" s="2"/>
    </row>
    <row r="4" spans="1:22" ht="3" customHeight="1">
      <c r="A4" s="8"/>
      <c r="B4" s="8"/>
      <c r="C4" s="8"/>
      <c r="D4" s="9"/>
      <c r="E4" s="10"/>
      <c r="F4" s="10"/>
      <c r="G4" s="11"/>
      <c r="H4" s="12"/>
      <c r="I4" s="90"/>
      <c r="J4" s="90"/>
      <c r="K4" s="91"/>
      <c r="L4" s="92"/>
      <c r="M4" s="93"/>
      <c r="N4" s="27"/>
      <c r="O4" s="23"/>
      <c r="P4" s="244"/>
      <c r="R4" s="197"/>
      <c r="V4" s="2"/>
    </row>
    <row r="5" spans="1:22" ht="35.25" customHeight="1">
      <c r="A5" s="8"/>
      <c r="B5" s="8"/>
      <c r="C5" s="8"/>
      <c r="D5" s="398" t="s">
        <v>107</v>
      </c>
      <c r="E5" s="410"/>
      <c r="F5" s="410"/>
      <c r="G5" s="411"/>
      <c r="H5" s="25"/>
      <c r="I5" s="97"/>
      <c r="J5" s="97"/>
      <c r="K5" s="98"/>
      <c r="L5" s="98"/>
      <c r="M5" s="98"/>
      <c r="N5" s="69"/>
      <c r="O5" s="58"/>
      <c r="P5" s="244"/>
      <c r="R5" s="2" t="s">
        <v>50</v>
      </c>
      <c r="T5" s="220"/>
      <c r="U5" s="233"/>
      <c r="V5" s="2"/>
    </row>
    <row r="6" spans="1:22" ht="33" customHeight="1">
      <c r="A6" s="107" t="s">
        <v>29</v>
      </c>
      <c r="B6" s="13" t="s">
        <v>1</v>
      </c>
      <c r="C6" s="13"/>
      <c r="D6" s="59" t="s">
        <v>2</v>
      </c>
      <c r="E6" s="60" t="s">
        <v>4</v>
      </c>
      <c r="F6" s="60" t="s">
        <v>3</v>
      </c>
      <c r="G6" s="61" t="s">
        <v>23</v>
      </c>
      <c r="H6" s="15"/>
      <c r="I6" s="94"/>
      <c r="J6" s="95"/>
      <c r="K6" s="14"/>
      <c r="L6" s="14"/>
      <c r="M6" s="96"/>
      <c r="N6" s="48"/>
      <c r="O6" s="67"/>
      <c r="P6" s="244"/>
      <c r="R6" s="199"/>
      <c r="S6" s="200" t="s">
        <v>63</v>
      </c>
      <c r="T6" s="235" t="s">
        <v>64</v>
      </c>
      <c r="U6" s="236" t="s">
        <v>65</v>
      </c>
      <c r="V6" s="202" t="s">
        <v>56</v>
      </c>
    </row>
    <row r="7" spans="1:22" ht="11.25" customHeight="1">
      <c r="A7" s="8">
        <v>1</v>
      </c>
      <c r="B7" s="8">
        <v>27</v>
      </c>
      <c r="C7" s="8"/>
      <c r="D7" s="346">
        <v>1</v>
      </c>
      <c r="E7" s="17">
        <f>VLOOKUP(D7,'A13 - Tabelle'!$A$6:$G$13,6)</f>
        <v>47088.24</v>
      </c>
      <c r="F7" s="17">
        <f>VLOOKUP(D7,'A13 - Tabelle'!$A$6:$G$13,7)</f>
        <v>36235.46</v>
      </c>
      <c r="G7" s="18">
        <f aca="true" t="shared" si="0" ref="G7:G46">F7-12*$K$1</f>
        <v>33715.46</v>
      </c>
      <c r="H7" s="19"/>
      <c r="I7" s="90"/>
      <c r="J7" s="24"/>
      <c r="K7" s="17"/>
      <c r="L7" s="17"/>
      <c r="M7" s="20"/>
      <c r="N7" s="47"/>
      <c r="O7" s="56"/>
      <c r="P7" s="244"/>
      <c r="R7" s="204"/>
      <c r="S7" s="205">
        <f>E7/12</f>
        <v>3924.02</v>
      </c>
      <c r="T7" s="205">
        <f>T$3</f>
        <v>1450.31</v>
      </c>
      <c r="U7" s="205">
        <f>U$3</f>
        <v>0</v>
      </c>
      <c r="V7" s="207">
        <f>SUM(S7:U7)</f>
        <v>5374.33</v>
      </c>
    </row>
    <row r="8" spans="1:22" ht="11.25" customHeight="1">
      <c r="A8" s="8">
        <v>2</v>
      </c>
      <c r="B8" s="8">
        <f>B7+1</f>
        <v>28</v>
      </c>
      <c r="C8" s="8"/>
      <c r="D8" s="346">
        <v>2</v>
      </c>
      <c r="E8" s="17">
        <f>VLOOKUP(D8,'A13 - Tabelle'!$A$6:$F$13,6)</f>
        <v>49409.64</v>
      </c>
      <c r="F8" s="17">
        <f>VLOOKUP(D8,'A13 - Tabelle'!$A$6:$G$13,7)</f>
        <v>37624.24</v>
      </c>
      <c r="G8" s="18">
        <f t="shared" si="0"/>
        <v>35104.24</v>
      </c>
      <c r="H8" s="19"/>
      <c r="I8" s="90"/>
      <c r="J8" s="24"/>
      <c r="K8" s="17"/>
      <c r="L8" s="17"/>
      <c r="M8" s="20"/>
      <c r="N8" s="47"/>
      <c r="O8" s="56"/>
      <c r="P8" s="244"/>
      <c r="R8" s="204"/>
      <c r="S8" s="205">
        <f aca="true" t="shared" si="1" ref="S8:S46">E8/12</f>
        <v>4117.47</v>
      </c>
      <c r="T8" s="205">
        <f>T$3</f>
        <v>1450.31</v>
      </c>
      <c r="U8" s="205">
        <f>U$3</f>
        <v>0</v>
      </c>
      <c r="V8" s="207">
        <f aca="true" t="shared" si="2" ref="V8:V46">SUM(S8:U8)</f>
        <v>5567.780000000001</v>
      </c>
    </row>
    <row r="9" spans="1:22" ht="11.25" customHeight="1">
      <c r="A9" s="8">
        <v>3</v>
      </c>
      <c r="B9" s="8">
        <f aca="true" t="shared" si="3" ref="B9:B46">B8+1</f>
        <v>29</v>
      </c>
      <c r="C9" s="8"/>
      <c r="D9" s="346">
        <v>2</v>
      </c>
      <c r="E9" s="17">
        <f>VLOOKUP(D9,'A13 - Tabelle'!$A$6:$F$13,6)</f>
        <v>49409.64</v>
      </c>
      <c r="F9" s="17">
        <f>VLOOKUP(D9,'A13 - Tabelle'!$A$6:$G$13,7)</f>
        <v>37624.24</v>
      </c>
      <c r="G9" s="18">
        <f t="shared" si="0"/>
        <v>35104.24</v>
      </c>
      <c r="H9" s="19"/>
      <c r="I9" s="90"/>
      <c r="J9" s="24"/>
      <c r="K9" s="17"/>
      <c r="L9" s="17"/>
      <c r="M9" s="20"/>
      <c r="N9" s="47"/>
      <c r="O9" s="56"/>
      <c r="P9" s="244"/>
      <c r="R9" s="204"/>
      <c r="S9" s="205">
        <f t="shared" si="1"/>
        <v>4117.47</v>
      </c>
      <c r="T9" s="205">
        <f aca="true" t="shared" si="4" ref="T9:U46">T$3</f>
        <v>1450.31</v>
      </c>
      <c r="U9" s="205">
        <f t="shared" si="4"/>
        <v>0</v>
      </c>
      <c r="V9" s="207">
        <f t="shared" si="2"/>
        <v>5567.780000000001</v>
      </c>
    </row>
    <row r="10" spans="1:22" ht="11.25" customHeight="1">
      <c r="A10" s="8">
        <v>4</v>
      </c>
      <c r="B10" s="8">
        <f t="shared" si="3"/>
        <v>30</v>
      </c>
      <c r="C10" s="8"/>
      <c r="D10" s="346">
        <v>2</v>
      </c>
      <c r="E10" s="17">
        <f>VLOOKUP(D10,'A13 - Tabelle'!$A$6:$F$13,6)</f>
        <v>49409.64</v>
      </c>
      <c r="F10" s="17">
        <f>VLOOKUP(D10,'A13 - Tabelle'!$A$6:$G$13,7)</f>
        <v>37624.24</v>
      </c>
      <c r="G10" s="18">
        <f t="shared" si="0"/>
        <v>35104.24</v>
      </c>
      <c r="H10" s="19"/>
      <c r="I10" s="90"/>
      <c r="J10" s="24"/>
      <c r="K10" s="17"/>
      <c r="L10" s="17"/>
      <c r="M10" s="20"/>
      <c r="N10" s="47"/>
      <c r="O10" s="56"/>
      <c r="P10" s="244"/>
      <c r="R10" s="204"/>
      <c r="S10" s="205">
        <f t="shared" si="1"/>
        <v>4117.47</v>
      </c>
      <c r="T10" s="205">
        <f t="shared" si="4"/>
        <v>1450.31</v>
      </c>
      <c r="U10" s="205">
        <f t="shared" si="4"/>
        <v>0</v>
      </c>
      <c r="V10" s="207">
        <f t="shared" si="2"/>
        <v>5567.780000000001</v>
      </c>
    </row>
    <row r="11" spans="1:22" ht="11.25" customHeight="1">
      <c r="A11" s="8">
        <v>5</v>
      </c>
      <c r="B11" s="8">
        <f t="shared" si="3"/>
        <v>31</v>
      </c>
      <c r="C11" s="8"/>
      <c r="D11" s="346">
        <v>3</v>
      </c>
      <c r="E11" s="17">
        <f>VLOOKUP(D11,'A13 - Tabelle'!$A$6:$F$13,6)</f>
        <v>51730.799999999996</v>
      </c>
      <c r="F11" s="17">
        <f>VLOOKUP(D11,'A13 - Tabelle'!$A$6:$G$13,7)</f>
        <v>38986.4</v>
      </c>
      <c r="G11" s="18">
        <f t="shared" si="0"/>
        <v>36466.4</v>
      </c>
      <c r="H11" s="19"/>
      <c r="I11" s="90"/>
      <c r="J11" s="24"/>
      <c r="K11" s="17"/>
      <c r="L11" s="17"/>
      <c r="M11" s="20"/>
      <c r="N11" s="47"/>
      <c r="O11" s="56"/>
      <c r="P11" s="244"/>
      <c r="R11" s="204"/>
      <c r="S11" s="205">
        <f t="shared" si="1"/>
        <v>4310.9</v>
      </c>
      <c r="T11" s="205">
        <f t="shared" si="4"/>
        <v>1450.31</v>
      </c>
      <c r="U11" s="205">
        <f t="shared" si="4"/>
        <v>0</v>
      </c>
      <c r="V11" s="207">
        <f t="shared" si="2"/>
        <v>5761.209999999999</v>
      </c>
    </row>
    <row r="12" spans="1:22" ht="11.25" customHeight="1">
      <c r="A12" s="8">
        <v>6</v>
      </c>
      <c r="B12" s="8">
        <f t="shared" si="3"/>
        <v>32</v>
      </c>
      <c r="C12" s="8"/>
      <c r="D12" s="346">
        <v>3</v>
      </c>
      <c r="E12" s="17">
        <f>VLOOKUP(D12,'A13 - Tabelle'!$A$6:$F$13,6)</f>
        <v>51730.799999999996</v>
      </c>
      <c r="F12" s="17">
        <f>VLOOKUP(D12,'A13 - Tabelle'!$A$6:$G$13,7)</f>
        <v>38986.4</v>
      </c>
      <c r="G12" s="18">
        <f t="shared" si="0"/>
        <v>36466.4</v>
      </c>
      <c r="H12" s="19"/>
      <c r="I12" s="90"/>
      <c r="J12" s="24"/>
      <c r="K12" s="17"/>
      <c r="L12" s="17"/>
      <c r="M12" s="20"/>
      <c r="N12" s="47"/>
      <c r="O12" s="56"/>
      <c r="P12" s="244"/>
      <c r="R12" s="204"/>
      <c r="S12" s="205">
        <f t="shared" si="1"/>
        <v>4310.9</v>
      </c>
      <c r="T12" s="205">
        <f t="shared" si="4"/>
        <v>1450.31</v>
      </c>
      <c r="U12" s="205">
        <f t="shared" si="4"/>
        <v>0</v>
      </c>
      <c r="V12" s="207">
        <f t="shared" si="2"/>
        <v>5761.209999999999</v>
      </c>
    </row>
    <row r="13" spans="1:22" ht="11.25" customHeight="1">
      <c r="A13" s="8">
        <v>7</v>
      </c>
      <c r="B13" s="8">
        <f t="shared" si="3"/>
        <v>33</v>
      </c>
      <c r="C13" s="8"/>
      <c r="D13" s="346">
        <v>3</v>
      </c>
      <c r="E13" s="17">
        <f>VLOOKUP(D13,'A13 - Tabelle'!$A$6:$F$13,6)</f>
        <v>51730.799999999996</v>
      </c>
      <c r="F13" s="17">
        <f>VLOOKUP(D13,'A13 - Tabelle'!$A$6:$G$13,7)</f>
        <v>38986.4</v>
      </c>
      <c r="G13" s="18">
        <f t="shared" si="0"/>
        <v>36466.4</v>
      </c>
      <c r="H13" s="19"/>
      <c r="I13" s="90"/>
      <c r="J13" s="24"/>
      <c r="K13" s="17"/>
      <c r="L13" s="17"/>
      <c r="M13" s="20"/>
      <c r="N13" s="47"/>
      <c r="O13" s="56"/>
      <c r="P13" s="244"/>
      <c r="R13" s="204"/>
      <c r="S13" s="205">
        <f t="shared" si="1"/>
        <v>4310.9</v>
      </c>
      <c r="T13" s="205">
        <f t="shared" si="4"/>
        <v>1450.31</v>
      </c>
      <c r="U13" s="205">
        <f t="shared" si="4"/>
        <v>0</v>
      </c>
      <c r="V13" s="207">
        <f t="shared" si="2"/>
        <v>5761.209999999999</v>
      </c>
    </row>
    <row r="14" spans="1:22" ht="11.25" customHeight="1">
      <c r="A14" s="8">
        <v>8</v>
      </c>
      <c r="B14" s="8">
        <f t="shared" si="3"/>
        <v>34</v>
      </c>
      <c r="C14" s="8"/>
      <c r="D14" s="346">
        <v>4</v>
      </c>
      <c r="E14" s="17">
        <f>VLOOKUP(D14,'A13 - Tabelle'!$A$6:$F$13,6)</f>
        <v>54066.240000000005</v>
      </c>
      <c r="F14" s="17">
        <f>VLOOKUP(D14,'A13 - Tabelle'!$A$6:$G$13,7)</f>
        <v>40332.25</v>
      </c>
      <c r="G14" s="18">
        <f t="shared" si="0"/>
        <v>37812.25</v>
      </c>
      <c r="H14" s="19"/>
      <c r="I14" s="90"/>
      <c r="J14" s="24"/>
      <c r="K14" s="17"/>
      <c r="L14" s="17"/>
      <c r="M14" s="20"/>
      <c r="N14" s="47"/>
      <c r="O14" s="56"/>
      <c r="P14" s="244"/>
      <c r="R14" s="204"/>
      <c r="S14" s="205">
        <f t="shared" si="1"/>
        <v>4505.52</v>
      </c>
      <c r="T14" s="205">
        <f t="shared" si="4"/>
        <v>1450.31</v>
      </c>
      <c r="U14" s="205">
        <f t="shared" si="4"/>
        <v>0</v>
      </c>
      <c r="V14" s="207">
        <f t="shared" si="2"/>
        <v>5955.83</v>
      </c>
    </row>
    <row r="15" spans="1:22" ht="11.25" customHeight="1">
      <c r="A15" s="8">
        <v>9</v>
      </c>
      <c r="B15" s="8">
        <f t="shared" si="3"/>
        <v>35</v>
      </c>
      <c r="C15" s="8"/>
      <c r="D15" s="346">
        <v>4</v>
      </c>
      <c r="E15" s="17">
        <f>VLOOKUP(D15,'A13 - Tabelle'!$A$6:$F$13,6)</f>
        <v>54066.240000000005</v>
      </c>
      <c r="F15" s="17">
        <f>VLOOKUP(D15,'A13 - Tabelle'!$A$6:$G$13,7)</f>
        <v>40332.25</v>
      </c>
      <c r="G15" s="18">
        <f t="shared" si="0"/>
        <v>37812.25</v>
      </c>
      <c r="H15" s="19"/>
      <c r="I15" s="90"/>
      <c r="J15" s="24"/>
      <c r="K15" s="17"/>
      <c r="L15" s="17"/>
      <c r="M15" s="20"/>
      <c r="N15" s="47"/>
      <c r="O15" s="56"/>
      <c r="P15" s="244"/>
      <c r="R15" s="204"/>
      <c r="S15" s="205">
        <f t="shared" si="1"/>
        <v>4505.52</v>
      </c>
      <c r="T15" s="205">
        <f t="shared" si="4"/>
        <v>1450.31</v>
      </c>
      <c r="U15" s="205">
        <f t="shared" si="4"/>
        <v>0</v>
      </c>
      <c r="V15" s="207">
        <f t="shared" si="2"/>
        <v>5955.83</v>
      </c>
    </row>
    <row r="16" spans="1:22" ht="11.25" customHeight="1">
      <c r="A16" s="8">
        <v>10</v>
      </c>
      <c r="B16" s="8">
        <f t="shared" si="3"/>
        <v>36</v>
      </c>
      <c r="C16" s="8"/>
      <c r="D16" s="346">
        <v>4</v>
      </c>
      <c r="E16" s="17">
        <f>VLOOKUP(D16,'A13 - Tabelle'!$A$6:$F$13,6)</f>
        <v>54066.240000000005</v>
      </c>
      <c r="F16" s="17">
        <f>VLOOKUP(D16,'A13 - Tabelle'!$A$6:$G$13,7)</f>
        <v>40332.25</v>
      </c>
      <c r="G16" s="18">
        <f t="shared" si="0"/>
        <v>37812.25</v>
      </c>
      <c r="H16" s="19"/>
      <c r="I16" s="90"/>
      <c r="J16" s="24"/>
      <c r="K16" s="17"/>
      <c r="L16" s="17"/>
      <c r="M16" s="20"/>
      <c r="N16" s="47"/>
      <c r="O16" s="56"/>
      <c r="P16" s="244"/>
      <c r="R16" s="204"/>
      <c r="S16" s="205">
        <f t="shared" si="1"/>
        <v>4505.52</v>
      </c>
      <c r="T16" s="205">
        <f t="shared" si="4"/>
        <v>1450.31</v>
      </c>
      <c r="U16" s="205">
        <f t="shared" si="4"/>
        <v>0</v>
      </c>
      <c r="V16" s="207">
        <f t="shared" si="2"/>
        <v>5955.83</v>
      </c>
    </row>
    <row r="17" spans="1:22" ht="11.25" customHeight="1">
      <c r="A17" s="8">
        <v>11</v>
      </c>
      <c r="B17" s="8">
        <f t="shared" si="3"/>
        <v>37</v>
      </c>
      <c r="C17" s="8"/>
      <c r="D17" s="346">
        <v>5</v>
      </c>
      <c r="E17" s="17">
        <f>VLOOKUP(D17,'A13 - Tabelle'!$A$6:$F$13,6)</f>
        <v>56257.68000000001</v>
      </c>
      <c r="F17" s="17">
        <f>VLOOKUP(D17,'A13 - Tabelle'!$A$6:$G$13,7)</f>
        <v>41572.08</v>
      </c>
      <c r="G17" s="18">
        <f t="shared" si="0"/>
        <v>39052.08</v>
      </c>
      <c r="H17" s="19"/>
      <c r="I17" s="90"/>
      <c r="J17" s="24"/>
      <c r="K17" s="17"/>
      <c r="L17" s="17"/>
      <c r="M17" s="20"/>
      <c r="N17" s="47"/>
      <c r="O17" s="56"/>
      <c r="P17" s="244"/>
      <c r="R17" s="204"/>
      <c r="S17" s="205">
        <f t="shared" si="1"/>
        <v>4688.14</v>
      </c>
      <c r="T17" s="205">
        <f t="shared" si="4"/>
        <v>1450.31</v>
      </c>
      <c r="U17" s="205">
        <f t="shared" si="4"/>
        <v>0</v>
      </c>
      <c r="V17" s="207">
        <f t="shared" si="2"/>
        <v>6138.450000000001</v>
      </c>
    </row>
    <row r="18" spans="1:22" ht="11.25" customHeight="1">
      <c r="A18" s="8">
        <v>12</v>
      </c>
      <c r="B18" s="8">
        <f t="shared" si="3"/>
        <v>38</v>
      </c>
      <c r="C18" s="8"/>
      <c r="D18" s="346">
        <v>5</v>
      </c>
      <c r="E18" s="17">
        <f>VLOOKUP(D18,'A13 - Tabelle'!$A$6:$F$13,6)</f>
        <v>56257.68000000001</v>
      </c>
      <c r="F18" s="17">
        <f>VLOOKUP(D18,'A13 - Tabelle'!$A$6:$G$13,7)</f>
        <v>41572.08</v>
      </c>
      <c r="G18" s="18">
        <f t="shared" si="0"/>
        <v>39052.08</v>
      </c>
      <c r="H18" s="19"/>
      <c r="I18" s="90"/>
      <c r="J18" s="24"/>
      <c r="K18" s="17"/>
      <c r="L18" s="17"/>
      <c r="M18" s="20"/>
      <c r="N18" s="47"/>
      <c r="O18" s="56"/>
      <c r="P18" s="244"/>
      <c r="R18" s="204"/>
      <c r="S18" s="205">
        <f t="shared" si="1"/>
        <v>4688.14</v>
      </c>
      <c r="T18" s="205">
        <f t="shared" si="4"/>
        <v>1450.31</v>
      </c>
      <c r="U18" s="205">
        <f t="shared" si="4"/>
        <v>0</v>
      </c>
      <c r="V18" s="207">
        <f t="shared" si="2"/>
        <v>6138.450000000001</v>
      </c>
    </row>
    <row r="19" spans="1:22" ht="11.25" customHeight="1">
      <c r="A19" s="8">
        <v>13</v>
      </c>
      <c r="B19" s="8">
        <f t="shared" si="3"/>
        <v>39</v>
      </c>
      <c r="C19" s="8"/>
      <c r="D19" s="346">
        <v>5</v>
      </c>
      <c r="E19" s="17">
        <f>VLOOKUP(D19,'A13 - Tabelle'!$A$6:$F$13,6)</f>
        <v>56257.68000000001</v>
      </c>
      <c r="F19" s="17">
        <f>VLOOKUP(D19,'A13 - Tabelle'!$A$6:$G$13,7)</f>
        <v>41572.08</v>
      </c>
      <c r="G19" s="18">
        <f t="shared" si="0"/>
        <v>39052.08</v>
      </c>
      <c r="H19" s="19"/>
      <c r="I19" s="90"/>
      <c r="J19" s="24"/>
      <c r="K19" s="17"/>
      <c r="L19" s="17"/>
      <c r="M19" s="20"/>
      <c r="N19" s="47"/>
      <c r="O19" s="56"/>
      <c r="P19" s="244"/>
      <c r="R19" s="204"/>
      <c r="S19" s="205">
        <f t="shared" si="1"/>
        <v>4688.14</v>
      </c>
      <c r="T19" s="205">
        <f t="shared" si="4"/>
        <v>1450.31</v>
      </c>
      <c r="U19" s="205">
        <f t="shared" si="4"/>
        <v>0</v>
      </c>
      <c r="V19" s="207">
        <f t="shared" si="2"/>
        <v>6138.450000000001</v>
      </c>
    </row>
    <row r="20" spans="1:22" ht="11.25" customHeight="1">
      <c r="A20" s="8">
        <v>14</v>
      </c>
      <c r="B20" s="8">
        <f t="shared" si="3"/>
        <v>40</v>
      </c>
      <c r="C20" s="8"/>
      <c r="D20" s="346">
        <v>5</v>
      </c>
      <c r="E20" s="17">
        <f>VLOOKUP(D20,'A13 - Tabelle'!$A$6:$F$13,6)</f>
        <v>56257.68000000001</v>
      </c>
      <c r="F20" s="17">
        <f>VLOOKUP(D20,'A13 - Tabelle'!$A$6:$G$13,7)</f>
        <v>41572.08</v>
      </c>
      <c r="G20" s="18">
        <f t="shared" si="0"/>
        <v>39052.08</v>
      </c>
      <c r="H20" s="19"/>
      <c r="I20" s="90"/>
      <c r="J20" s="24"/>
      <c r="K20" s="17"/>
      <c r="L20" s="17"/>
      <c r="M20" s="20"/>
      <c r="N20" s="47"/>
      <c r="O20" s="56"/>
      <c r="P20" s="244"/>
      <c r="R20" s="204"/>
      <c r="S20" s="205">
        <f t="shared" si="1"/>
        <v>4688.14</v>
      </c>
      <c r="T20" s="205">
        <f t="shared" si="4"/>
        <v>1450.31</v>
      </c>
      <c r="U20" s="205">
        <f t="shared" si="4"/>
        <v>0</v>
      </c>
      <c r="V20" s="207">
        <f t="shared" si="2"/>
        <v>6138.450000000001</v>
      </c>
    </row>
    <row r="21" spans="1:22" ht="11.25" customHeight="1">
      <c r="A21" s="8">
        <v>15</v>
      </c>
      <c r="B21" s="8">
        <f t="shared" si="3"/>
        <v>41</v>
      </c>
      <c r="C21" s="8"/>
      <c r="D21" s="346">
        <v>6</v>
      </c>
      <c r="E21" s="17">
        <f>VLOOKUP(D21,'A13 - Tabelle'!$A$6:$F$13,6)</f>
        <v>57295.799999999996</v>
      </c>
      <c r="F21" s="17">
        <f>VLOOKUP(D21,'A13 - Tabelle'!$A$6:$G$13,7)</f>
        <v>42151.28</v>
      </c>
      <c r="G21" s="18">
        <f t="shared" si="0"/>
        <v>39631.28</v>
      </c>
      <c r="H21" s="19"/>
      <c r="I21" s="90"/>
      <c r="J21" s="24"/>
      <c r="K21" s="17"/>
      <c r="L21" s="17"/>
      <c r="M21" s="20"/>
      <c r="N21" s="47"/>
      <c r="O21" s="56"/>
      <c r="P21" s="244"/>
      <c r="R21" s="204"/>
      <c r="S21" s="205">
        <f t="shared" si="1"/>
        <v>4774.65</v>
      </c>
      <c r="T21" s="205">
        <f t="shared" si="4"/>
        <v>1450.31</v>
      </c>
      <c r="U21" s="205">
        <f t="shared" si="4"/>
        <v>0</v>
      </c>
      <c r="V21" s="207">
        <f t="shared" si="2"/>
        <v>6224.959999999999</v>
      </c>
    </row>
    <row r="22" spans="1:22" ht="11.25" customHeight="1">
      <c r="A22" s="8">
        <v>16</v>
      </c>
      <c r="B22" s="8">
        <f t="shared" si="3"/>
        <v>42</v>
      </c>
      <c r="C22" s="8"/>
      <c r="D22" s="346">
        <v>6</v>
      </c>
      <c r="E22" s="17">
        <f>VLOOKUP(D22,'A13 - Tabelle'!$A$6:$F$13,6)</f>
        <v>57295.799999999996</v>
      </c>
      <c r="F22" s="17">
        <f>VLOOKUP(D22,'A13 - Tabelle'!$A$6:$G$13,7)</f>
        <v>42151.28</v>
      </c>
      <c r="G22" s="18">
        <f t="shared" si="0"/>
        <v>39631.28</v>
      </c>
      <c r="H22" s="19"/>
      <c r="I22" s="90"/>
      <c r="J22" s="24"/>
      <c r="K22" s="17"/>
      <c r="L22" s="17"/>
      <c r="M22" s="20"/>
      <c r="N22" s="47"/>
      <c r="O22" s="56"/>
      <c r="P22" s="244"/>
      <c r="R22" s="204"/>
      <c r="S22" s="205">
        <f t="shared" si="1"/>
        <v>4774.65</v>
      </c>
      <c r="T22" s="205">
        <f t="shared" si="4"/>
        <v>1450.31</v>
      </c>
      <c r="U22" s="205">
        <f t="shared" si="4"/>
        <v>0</v>
      </c>
      <c r="V22" s="207">
        <f t="shared" si="2"/>
        <v>6224.959999999999</v>
      </c>
    </row>
    <row r="23" spans="1:22" ht="11.25" customHeight="1">
      <c r="A23" s="8">
        <v>17</v>
      </c>
      <c r="B23" s="8">
        <f t="shared" si="3"/>
        <v>43</v>
      </c>
      <c r="C23" s="8"/>
      <c r="D23" s="346">
        <v>6</v>
      </c>
      <c r="E23" s="17">
        <f>VLOOKUP(D23,'A13 - Tabelle'!$A$6:$F$13,6)</f>
        <v>57295.799999999996</v>
      </c>
      <c r="F23" s="17">
        <f>VLOOKUP(D23,'A13 - Tabelle'!$A$6:$G$13,7)</f>
        <v>42151.28</v>
      </c>
      <c r="G23" s="18">
        <f t="shared" si="0"/>
        <v>39631.28</v>
      </c>
      <c r="H23" s="19"/>
      <c r="I23" s="90"/>
      <c r="J23" s="24"/>
      <c r="K23" s="17"/>
      <c r="L23" s="17"/>
      <c r="M23" s="20"/>
      <c r="N23" s="47"/>
      <c r="O23" s="56"/>
      <c r="P23" s="244"/>
      <c r="R23" s="204"/>
      <c r="S23" s="205">
        <f t="shared" si="1"/>
        <v>4774.65</v>
      </c>
      <c r="T23" s="205">
        <f t="shared" si="4"/>
        <v>1450.31</v>
      </c>
      <c r="U23" s="205">
        <f t="shared" si="4"/>
        <v>0</v>
      </c>
      <c r="V23" s="207">
        <f t="shared" si="2"/>
        <v>6224.959999999999</v>
      </c>
    </row>
    <row r="24" spans="1:22" ht="11.25" customHeight="1">
      <c r="A24" s="8">
        <v>18</v>
      </c>
      <c r="B24" s="8">
        <f t="shared" si="3"/>
        <v>44</v>
      </c>
      <c r="C24" s="8"/>
      <c r="D24" s="346">
        <v>6</v>
      </c>
      <c r="E24" s="17">
        <f>VLOOKUP(D24,'A13 - Tabelle'!$A$6:$F$13,6)</f>
        <v>57295.799999999996</v>
      </c>
      <c r="F24" s="17">
        <f>VLOOKUP(D24,'A13 - Tabelle'!$A$6:$G$13,7)</f>
        <v>42151.28</v>
      </c>
      <c r="G24" s="18">
        <f t="shared" si="0"/>
        <v>39631.28</v>
      </c>
      <c r="H24" s="19"/>
      <c r="I24" s="90"/>
      <c r="J24" s="24"/>
      <c r="K24" s="17"/>
      <c r="L24" s="17"/>
      <c r="M24" s="20"/>
      <c r="N24" s="47"/>
      <c r="O24" s="56"/>
      <c r="P24" s="244"/>
      <c r="R24" s="204"/>
      <c r="S24" s="205">
        <f t="shared" si="1"/>
        <v>4774.65</v>
      </c>
      <c r="T24" s="205">
        <f t="shared" si="4"/>
        <v>1450.31</v>
      </c>
      <c r="U24" s="205">
        <f t="shared" si="4"/>
        <v>0</v>
      </c>
      <c r="V24" s="207">
        <f t="shared" si="2"/>
        <v>6224.959999999999</v>
      </c>
    </row>
    <row r="25" spans="1:22" ht="11.25" customHeight="1">
      <c r="A25" s="8">
        <v>19</v>
      </c>
      <c r="B25" s="8">
        <f t="shared" si="3"/>
        <v>45</v>
      </c>
      <c r="C25" s="8"/>
      <c r="D25" s="346">
        <v>7</v>
      </c>
      <c r="E25" s="17">
        <f>VLOOKUP(D25,'A13 - Tabelle'!$A$6:$F$13,6)</f>
        <v>59487.12</v>
      </c>
      <c r="F25" s="17">
        <f>VLOOKUP(D25,'A13 - Tabelle'!$A$6:$G$13,7)</f>
        <v>43372</v>
      </c>
      <c r="G25" s="18">
        <f t="shared" si="0"/>
        <v>40852</v>
      </c>
      <c r="H25" s="19"/>
      <c r="I25" s="90"/>
      <c r="J25" s="24"/>
      <c r="K25" s="17"/>
      <c r="L25" s="17"/>
      <c r="M25" s="20"/>
      <c r="N25" s="47"/>
      <c r="O25" s="56"/>
      <c r="P25" s="244"/>
      <c r="R25" s="204"/>
      <c r="S25" s="205">
        <f t="shared" si="1"/>
        <v>4957.26</v>
      </c>
      <c r="T25" s="205">
        <f t="shared" si="4"/>
        <v>1450.31</v>
      </c>
      <c r="U25" s="205">
        <f t="shared" si="4"/>
        <v>0</v>
      </c>
      <c r="V25" s="207">
        <f t="shared" si="2"/>
        <v>6407.57</v>
      </c>
    </row>
    <row r="26" spans="1:22" ht="11.25" customHeight="1">
      <c r="A26" s="8">
        <v>20</v>
      </c>
      <c r="B26" s="8">
        <f t="shared" si="3"/>
        <v>46</v>
      </c>
      <c r="C26" s="8"/>
      <c r="D26" s="346">
        <v>7</v>
      </c>
      <c r="E26" s="17">
        <f>VLOOKUP(D26,'A13 - Tabelle'!$A$6:$F$13,6)</f>
        <v>59487.12</v>
      </c>
      <c r="F26" s="17">
        <f>VLOOKUP(D26,'A13 - Tabelle'!$A$6:$G$13,7)</f>
        <v>43372</v>
      </c>
      <c r="G26" s="18">
        <f t="shared" si="0"/>
        <v>40852</v>
      </c>
      <c r="H26" s="19"/>
      <c r="I26" s="90"/>
      <c r="J26" s="24"/>
      <c r="K26" s="17"/>
      <c r="L26" s="17"/>
      <c r="M26" s="20"/>
      <c r="N26" s="47"/>
      <c r="O26" s="56"/>
      <c r="P26" s="244"/>
      <c r="R26" s="204"/>
      <c r="S26" s="205">
        <f t="shared" si="1"/>
        <v>4957.26</v>
      </c>
      <c r="T26" s="205">
        <f t="shared" si="4"/>
        <v>1450.31</v>
      </c>
      <c r="U26" s="205">
        <f t="shared" si="4"/>
        <v>0</v>
      </c>
      <c r="V26" s="207">
        <f t="shared" si="2"/>
        <v>6407.57</v>
      </c>
    </row>
    <row r="27" spans="1:22" ht="11.25" customHeight="1">
      <c r="A27" s="8">
        <v>21</v>
      </c>
      <c r="B27" s="8">
        <f t="shared" si="3"/>
        <v>47</v>
      </c>
      <c r="C27" s="8"/>
      <c r="D27" s="346">
        <v>7</v>
      </c>
      <c r="E27" s="17">
        <f>VLOOKUP(D27,'A13 - Tabelle'!$A$6:$F$13,6)</f>
        <v>59487.12</v>
      </c>
      <c r="F27" s="17">
        <f>VLOOKUP(D27,'A13 - Tabelle'!$A$6:$G$13,7)</f>
        <v>43372</v>
      </c>
      <c r="G27" s="18">
        <f t="shared" si="0"/>
        <v>40852</v>
      </c>
      <c r="H27" s="19"/>
      <c r="I27" s="90"/>
      <c r="J27" s="24"/>
      <c r="K27" s="17"/>
      <c r="L27" s="17"/>
      <c r="M27" s="20"/>
      <c r="N27" s="47"/>
      <c r="O27" s="56"/>
      <c r="P27" s="244"/>
      <c r="R27" s="204"/>
      <c r="S27" s="205">
        <f t="shared" si="1"/>
        <v>4957.26</v>
      </c>
      <c r="T27" s="205">
        <f t="shared" si="4"/>
        <v>1450.31</v>
      </c>
      <c r="U27" s="205">
        <f t="shared" si="4"/>
        <v>0</v>
      </c>
      <c r="V27" s="207">
        <f t="shared" si="2"/>
        <v>6407.57</v>
      </c>
    </row>
    <row r="28" spans="1:22" ht="11.25" customHeight="1">
      <c r="A28" s="8">
        <v>22</v>
      </c>
      <c r="B28" s="8">
        <f t="shared" si="3"/>
        <v>48</v>
      </c>
      <c r="C28" s="8"/>
      <c r="D28" s="346">
        <v>7</v>
      </c>
      <c r="E28" s="17">
        <f>VLOOKUP(D28,'A13 - Tabelle'!$A$6:$F$13,6)</f>
        <v>59487.12</v>
      </c>
      <c r="F28" s="17">
        <f>VLOOKUP(D28,'A13 - Tabelle'!$A$6:$G$13,7)</f>
        <v>43372</v>
      </c>
      <c r="G28" s="18">
        <f t="shared" si="0"/>
        <v>40852</v>
      </c>
      <c r="H28" s="19"/>
      <c r="I28" s="90"/>
      <c r="J28" s="24"/>
      <c r="K28" s="17"/>
      <c r="L28" s="17"/>
      <c r="M28" s="20"/>
      <c r="N28" s="47"/>
      <c r="O28" s="56"/>
      <c r="P28" s="244"/>
      <c r="R28" s="204"/>
      <c r="S28" s="205">
        <f t="shared" si="1"/>
        <v>4957.26</v>
      </c>
      <c r="T28" s="205">
        <f t="shared" si="4"/>
        <v>1450.31</v>
      </c>
      <c r="U28" s="205">
        <f t="shared" si="4"/>
        <v>0</v>
      </c>
      <c r="V28" s="207">
        <f t="shared" si="2"/>
        <v>6407.57</v>
      </c>
    </row>
    <row r="29" spans="1:22" ht="11.25" customHeight="1">
      <c r="A29" s="8">
        <v>23</v>
      </c>
      <c r="B29" s="8">
        <f t="shared" si="3"/>
        <v>49</v>
      </c>
      <c r="C29" s="8"/>
      <c r="D29" s="346">
        <v>8</v>
      </c>
      <c r="E29" s="17">
        <f>VLOOKUP(D29,'A13 - Tabelle'!$A$6:$F$13,6)</f>
        <v>60640.31999999999</v>
      </c>
      <c r="F29" s="17">
        <f>VLOOKUP(D29,'A13 - Tabelle'!$A$6:$G$13,7)</f>
        <v>44013.52</v>
      </c>
      <c r="G29" s="18">
        <f t="shared" si="0"/>
        <v>41493.52</v>
      </c>
      <c r="H29" s="19"/>
      <c r="I29" s="90"/>
      <c r="J29" s="24"/>
      <c r="K29" s="17"/>
      <c r="L29" s="17"/>
      <c r="M29" s="20"/>
      <c r="N29" s="47"/>
      <c r="O29" s="56"/>
      <c r="P29" s="244"/>
      <c r="R29" s="204"/>
      <c r="S29" s="205">
        <f t="shared" si="1"/>
        <v>5053.36</v>
      </c>
      <c r="T29" s="205">
        <f t="shared" si="4"/>
        <v>1450.31</v>
      </c>
      <c r="U29" s="205">
        <f t="shared" si="4"/>
        <v>0</v>
      </c>
      <c r="V29" s="207">
        <f t="shared" si="2"/>
        <v>6503.67</v>
      </c>
    </row>
    <row r="30" spans="1:22" ht="11.25" customHeight="1">
      <c r="A30" s="8">
        <v>24</v>
      </c>
      <c r="B30" s="8">
        <f t="shared" si="3"/>
        <v>50</v>
      </c>
      <c r="C30" s="8"/>
      <c r="D30" s="346">
        <v>8</v>
      </c>
      <c r="E30" s="17">
        <f>VLOOKUP(D30,'A13 - Tabelle'!$A$6:$F$13,6)</f>
        <v>60640.31999999999</v>
      </c>
      <c r="F30" s="17">
        <f>VLOOKUP(D30,'A13 - Tabelle'!$A$6:$G$13,7)</f>
        <v>44013.52</v>
      </c>
      <c r="G30" s="18">
        <f t="shared" si="0"/>
        <v>41493.52</v>
      </c>
      <c r="H30" s="19"/>
      <c r="I30" s="90"/>
      <c r="J30" s="24"/>
      <c r="K30" s="17"/>
      <c r="L30" s="17"/>
      <c r="M30" s="20"/>
      <c r="N30" s="47"/>
      <c r="O30" s="56"/>
      <c r="P30" s="244"/>
      <c r="R30" s="204"/>
      <c r="S30" s="205">
        <f t="shared" si="1"/>
        <v>5053.36</v>
      </c>
      <c r="T30" s="205">
        <f t="shared" si="4"/>
        <v>1450.31</v>
      </c>
      <c r="U30" s="205">
        <f t="shared" si="4"/>
        <v>0</v>
      </c>
      <c r="V30" s="207">
        <f t="shared" si="2"/>
        <v>6503.67</v>
      </c>
    </row>
    <row r="31" spans="1:22" ht="11.25" customHeight="1">
      <c r="A31" s="8">
        <v>25</v>
      </c>
      <c r="B31" s="8">
        <f t="shared" si="3"/>
        <v>51</v>
      </c>
      <c r="C31" s="8"/>
      <c r="D31" s="16">
        <v>8</v>
      </c>
      <c r="E31" s="17">
        <f>VLOOKUP(D31,'A13 - Tabelle'!$A$6:$F$13,6)</f>
        <v>60640.31999999999</v>
      </c>
      <c r="F31" s="17">
        <f>VLOOKUP(D31,'A13 - Tabelle'!$A$6:$G$13,7)</f>
        <v>44013.52</v>
      </c>
      <c r="G31" s="18">
        <f t="shared" si="0"/>
        <v>41493.52</v>
      </c>
      <c r="H31" s="19"/>
      <c r="I31" s="90"/>
      <c r="J31" s="24"/>
      <c r="K31" s="17"/>
      <c r="L31" s="17"/>
      <c r="M31" s="20"/>
      <c r="N31" s="47"/>
      <c r="O31" s="56"/>
      <c r="P31" s="244"/>
      <c r="R31" s="204"/>
      <c r="S31" s="205">
        <f t="shared" si="1"/>
        <v>5053.36</v>
      </c>
      <c r="T31" s="205">
        <f t="shared" si="4"/>
        <v>1450.31</v>
      </c>
      <c r="U31" s="205">
        <f t="shared" si="4"/>
        <v>0</v>
      </c>
      <c r="V31" s="207">
        <f t="shared" si="2"/>
        <v>6503.67</v>
      </c>
    </row>
    <row r="32" spans="1:22" ht="11.25" customHeight="1">
      <c r="A32" s="8">
        <v>26</v>
      </c>
      <c r="B32" s="8">
        <f t="shared" si="3"/>
        <v>52</v>
      </c>
      <c r="C32" s="8"/>
      <c r="D32" s="16">
        <v>8</v>
      </c>
      <c r="E32" s="17">
        <f>VLOOKUP(D32,'A13 - Tabelle'!$A$6:$F$13,6)</f>
        <v>60640.31999999999</v>
      </c>
      <c r="F32" s="17">
        <f>VLOOKUP(D32,'A13 - Tabelle'!$A$6:$G$13,7)</f>
        <v>44013.52</v>
      </c>
      <c r="G32" s="18">
        <f t="shared" si="0"/>
        <v>41493.52</v>
      </c>
      <c r="H32" s="19"/>
      <c r="I32" s="90"/>
      <c r="J32" s="24"/>
      <c r="K32" s="17"/>
      <c r="L32" s="17"/>
      <c r="M32" s="20"/>
      <c r="N32" s="47"/>
      <c r="O32" s="56"/>
      <c r="P32" s="244"/>
      <c r="R32" s="204"/>
      <c r="S32" s="205">
        <f t="shared" si="1"/>
        <v>5053.36</v>
      </c>
      <c r="T32" s="205">
        <f t="shared" si="4"/>
        <v>1450.31</v>
      </c>
      <c r="U32" s="205">
        <f t="shared" si="4"/>
        <v>0</v>
      </c>
      <c r="V32" s="207">
        <f t="shared" si="2"/>
        <v>6503.67</v>
      </c>
    </row>
    <row r="33" spans="1:22" ht="11.25" customHeight="1">
      <c r="A33" s="8">
        <v>27</v>
      </c>
      <c r="B33" s="8">
        <f t="shared" si="3"/>
        <v>53</v>
      </c>
      <c r="C33" s="8"/>
      <c r="D33" s="16">
        <v>8</v>
      </c>
      <c r="E33" s="17">
        <f>VLOOKUP(D33,'A13 - Tabelle'!$A$6:$F$13,6)</f>
        <v>60640.31999999999</v>
      </c>
      <c r="F33" s="17">
        <f>VLOOKUP(D33,'A13 - Tabelle'!$A$6:$G$13,7)</f>
        <v>44013.52</v>
      </c>
      <c r="G33" s="18">
        <f t="shared" si="0"/>
        <v>41493.52</v>
      </c>
      <c r="H33" s="19"/>
      <c r="I33" s="90"/>
      <c r="J33" s="24"/>
      <c r="K33" s="17"/>
      <c r="L33" s="17"/>
      <c r="M33" s="20"/>
      <c r="N33" s="47"/>
      <c r="O33" s="56"/>
      <c r="P33" s="244"/>
      <c r="R33" s="204"/>
      <c r="S33" s="205">
        <f t="shared" si="1"/>
        <v>5053.36</v>
      </c>
      <c r="T33" s="205">
        <f t="shared" si="4"/>
        <v>1450.31</v>
      </c>
      <c r="U33" s="205">
        <f t="shared" si="4"/>
        <v>0</v>
      </c>
      <c r="V33" s="207">
        <f t="shared" si="2"/>
        <v>6503.67</v>
      </c>
    </row>
    <row r="34" spans="1:22" ht="11.25" customHeight="1">
      <c r="A34" s="8">
        <v>28</v>
      </c>
      <c r="B34" s="8">
        <f t="shared" si="3"/>
        <v>54</v>
      </c>
      <c r="C34" s="8"/>
      <c r="D34" s="16">
        <v>8</v>
      </c>
      <c r="E34" s="17">
        <f>VLOOKUP(D34,'A13 - Tabelle'!$A$6:$F$13,6)</f>
        <v>60640.31999999999</v>
      </c>
      <c r="F34" s="17">
        <f>VLOOKUP(D34,'A13 - Tabelle'!$A$6:$G$13,7)</f>
        <v>44013.52</v>
      </c>
      <c r="G34" s="18">
        <f t="shared" si="0"/>
        <v>41493.52</v>
      </c>
      <c r="H34" s="19"/>
      <c r="I34" s="90"/>
      <c r="J34" s="24"/>
      <c r="K34" s="17"/>
      <c r="L34" s="17"/>
      <c r="M34" s="20"/>
      <c r="N34" s="47"/>
      <c r="O34" s="56"/>
      <c r="P34" s="244"/>
      <c r="R34" s="204"/>
      <c r="S34" s="205">
        <f t="shared" si="1"/>
        <v>5053.36</v>
      </c>
      <c r="T34" s="205">
        <f t="shared" si="4"/>
        <v>1450.31</v>
      </c>
      <c r="U34" s="205">
        <f t="shared" si="4"/>
        <v>0</v>
      </c>
      <c r="V34" s="207">
        <f t="shared" si="2"/>
        <v>6503.67</v>
      </c>
    </row>
    <row r="35" spans="1:22" ht="11.25" customHeight="1">
      <c r="A35" s="8">
        <v>29</v>
      </c>
      <c r="B35" s="8">
        <f t="shared" si="3"/>
        <v>55</v>
      </c>
      <c r="C35" s="8"/>
      <c r="D35" s="16">
        <v>8</v>
      </c>
      <c r="E35" s="17">
        <f>VLOOKUP(D35,'A13 - Tabelle'!$A$6:$F$13,6)</f>
        <v>60640.31999999999</v>
      </c>
      <c r="F35" s="17">
        <f>VLOOKUP(D35,'A13 - Tabelle'!$A$6:$G$13,7)</f>
        <v>44013.52</v>
      </c>
      <c r="G35" s="18">
        <f t="shared" si="0"/>
        <v>41493.52</v>
      </c>
      <c r="H35" s="19"/>
      <c r="I35" s="90"/>
      <c r="J35" s="24"/>
      <c r="K35" s="17"/>
      <c r="L35" s="17"/>
      <c r="M35" s="20"/>
      <c r="N35" s="47"/>
      <c r="O35" s="56"/>
      <c r="P35" s="244"/>
      <c r="R35" s="204"/>
      <c r="S35" s="205">
        <f t="shared" si="1"/>
        <v>5053.36</v>
      </c>
      <c r="T35" s="205">
        <f t="shared" si="4"/>
        <v>1450.31</v>
      </c>
      <c r="U35" s="205">
        <f t="shared" si="4"/>
        <v>0</v>
      </c>
      <c r="V35" s="207">
        <f t="shared" si="2"/>
        <v>6503.67</v>
      </c>
    </row>
    <row r="36" spans="1:22" ht="11.25" customHeight="1">
      <c r="A36" s="8">
        <v>30</v>
      </c>
      <c r="B36" s="8">
        <f t="shared" si="3"/>
        <v>56</v>
      </c>
      <c r="C36" s="8"/>
      <c r="D36" s="16">
        <v>8</v>
      </c>
      <c r="E36" s="17">
        <f>VLOOKUP(D36,'A13 - Tabelle'!$A$6:$F$13,6)</f>
        <v>60640.31999999999</v>
      </c>
      <c r="F36" s="17">
        <f>VLOOKUP(D36,'A13 - Tabelle'!$A$6:$G$13,7)</f>
        <v>44013.52</v>
      </c>
      <c r="G36" s="18">
        <f t="shared" si="0"/>
        <v>41493.52</v>
      </c>
      <c r="H36" s="19"/>
      <c r="I36" s="90"/>
      <c r="J36" s="24"/>
      <c r="K36" s="17"/>
      <c r="L36" s="17"/>
      <c r="M36" s="20"/>
      <c r="N36" s="47"/>
      <c r="O36" s="56"/>
      <c r="P36" s="244"/>
      <c r="R36" s="204"/>
      <c r="S36" s="205">
        <f t="shared" si="1"/>
        <v>5053.36</v>
      </c>
      <c r="T36" s="205">
        <f t="shared" si="4"/>
        <v>1450.31</v>
      </c>
      <c r="U36" s="205">
        <f t="shared" si="4"/>
        <v>0</v>
      </c>
      <c r="V36" s="207">
        <f t="shared" si="2"/>
        <v>6503.67</v>
      </c>
    </row>
    <row r="37" spans="1:22" ht="11.25" customHeight="1">
      <c r="A37" s="8">
        <v>31</v>
      </c>
      <c r="B37" s="8">
        <f t="shared" si="3"/>
        <v>57</v>
      </c>
      <c r="C37" s="8"/>
      <c r="D37" s="16">
        <v>8</v>
      </c>
      <c r="E37" s="17">
        <f>VLOOKUP(D37,'A13 - Tabelle'!$A$6:$F$13,6)</f>
        <v>60640.31999999999</v>
      </c>
      <c r="F37" s="17">
        <f>VLOOKUP(D37,'A13 - Tabelle'!$A$6:$G$13,7)</f>
        <v>44013.52</v>
      </c>
      <c r="G37" s="18">
        <f t="shared" si="0"/>
        <v>41493.52</v>
      </c>
      <c r="H37" s="19"/>
      <c r="I37" s="90"/>
      <c r="J37" s="24"/>
      <c r="K37" s="17"/>
      <c r="L37" s="17"/>
      <c r="M37" s="20"/>
      <c r="N37" s="47"/>
      <c r="O37" s="56"/>
      <c r="P37" s="244"/>
      <c r="R37" s="204"/>
      <c r="S37" s="205">
        <f t="shared" si="1"/>
        <v>5053.36</v>
      </c>
      <c r="T37" s="205">
        <f t="shared" si="4"/>
        <v>1450.31</v>
      </c>
      <c r="U37" s="205">
        <f t="shared" si="4"/>
        <v>0</v>
      </c>
      <c r="V37" s="207">
        <f t="shared" si="2"/>
        <v>6503.67</v>
      </c>
    </row>
    <row r="38" spans="1:22" ht="11.25" customHeight="1">
      <c r="A38" s="8">
        <v>32</v>
      </c>
      <c r="B38" s="8">
        <f t="shared" si="3"/>
        <v>58</v>
      </c>
      <c r="C38" s="8"/>
      <c r="D38" s="16">
        <v>8</v>
      </c>
      <c r="E38" s="17">
        <f>VLOOKUP(D38,'A13 - Tabelle'!$A$6:$F$13,6)</f>
        <v>60640.31999999999</v>
      </c>
      <c r="F38" s="17">
        <f>VLOOKUP(D38,'A13 - Tabelle'!$A$6:$G$13,7)</f>
        <v>44013.52</v>
      </c>
      <c r="G38" s="18">
        <f t="shared" si="0"/>
        <v>41493.52</v>
      </c>
      <c r="H38" s="19"/>
      <c r="I38" s="90"/>
      <c r="J38" s="24"/>
      <c r="K38" s="17"/>
      <c r="L38" s="17"/>
      <c r="M38" s="20"/>
      <c r="N38" s="47"/>
      <c r="O38" s="56"/>
      <c r="P38" s="244"/>
      <c r="R38" s="204"/>
      <c r="S38" s="205">
        <f t="shared" si="1"/>
        <v>5053.36</v>
      </c>
      <c r="T38" s="205">
        <f t="shared" si="4"/>
        <v>1450.31</v>
      </c>
      <c r="U38" s="205">
        <f t="shared" si="4"/>
        <v>0</v>
      </c>
      <c r="V38" s="207">
        <f t="shared" si="2"/>
        <v>6503.67</v>
      </c>
    </row>
    <row r="39" spans="1:22" ht="11.25" customHeight="1">
      <c r="A39" s="8">
        <v>33</v>
      </c>
      <c r="B39" s="8">
        <f t="shared" si="3"/>
        <v>59</v>
      </c>
      <c r="C39" s="8"/>
      <c r="D39" s="16">
        <v>8</v>
      </c>
      <c r="E39" s="17">
        <f>VLOOKUP(D39,'A13 - Tabelle'!$A$6:$F$13,6)</f>
        <v>60640.31999999999</v>
      </c>
      <c r="F39" s="17">
        <f>VLOOKUP(D39,'A13 - Tabelle'!$A$6:$G$13,7)</f>
        <v>44013.52</v>
      </c>
      <c r="G39" s="18">
        <f t="shared" si="0"/>
        <v>41493.52</v>
      </c>
      <c r="H39" s="19"/>
      <c r="I39" s="90"/>
      <c r="J39" s="24"/>
      <c r="K39" s="17"/>
      <c r="L39" s="17"/>
      <c r="M39" s="20"/>
      <c r="N39" s="47"/>
      <c r="O39" s="56"/>
      <c r="P39" s="244"/>
      <c r="R39" s="204"/>
      <c r="S39" s="205">
        <f t="shared" si="1"/>
        <v>5053.36</v>
      </c>
      <c r="T39" s="205">
        <f t="shared" si="4"/>
        <v>1450.31</v>
      </c>
      <c r="U39" s="205">
        <f t="shared" si="4"/>
        <v>0</v>
      </c>
      <c r="V39" s="207">
        <f t="shared" si="2"/>
        <v>6503.67</v>
      </c>
    </row>
    <row r="40" spans="1:22" ht="11.25" customHeight="1">
      <c r="A40" s="8">
        <v>34</v>
      </c>
      <c r="B40" s="8">
        <f t="shared" si="3"/>
        <v>60</v>
      </c>
      <c r="C40" s="8"/>
      <c r="D40" s="16">
        <v>8</v>
      </c>
      <c r="E40" s="17">
        <f>VLOOKUP(D40,'A13 - Tabelle'!$A$6:$F$13,6)</f>
        <v>60640.31999999999</v>
      </c>
      <c r="F40" s="17">
        <f>VLOOKUP(D40,'A13 - Tabelle'!$A$6:$G$13,7)</f>
        <v>44013.52</v>
      </c>
      <c r="G40" s="18">
        <f t="shared" si="0"/>
        <v>41493.52</v>
      </c>
      <c r="H40" s="19"/>
      <c r="I40" s="90"/>
      <c r="J40" s="24"/>
      <c r="K40" s="17"/>
      <c r="L40" s="17"/>
      <c r="M40" s="20"/>
      <c r="N40" s="47"/>
      <c r="O40" s="56"/>
      <c r="P40" s="244"/>
      <c r="R40" s="204"/>
      <c r="S40" s="205">
        <f t="shared" si="1"/>
        <v>5053.36</v>
      </c>
      <c r="T40" s="205">
        <f t="shared" si="4"/>
        <v>1450.31</v>
      </c>
      <c r="U40" s="205">
        <f t="shared" si="4"/>
        <v>0</v>
      </c>
      <c r="V40" s="207">
        <f t="shared" si="2"/>
        <v>6503.67</v>
      </c>
    </row>
    <row r="41" spans="1:22" ht="11.25" customHeight="1">
      <c r="A41" s="8">
        <v>35</v>
      </c>
      <c r="B41" s="8">
        <f t="shared" si="3"/>
        <v>61</v>
      </c>
      <c r="C41" s="8"/>
      <c r="D41" s="16">
        <v>8</v>
      </c>
      <c r="E41" s="17">
        <f>VLOOKUP(D41,'A13 - Tabelle'!$A$6:$F$13,6)</f>
        <v>60640.31999999999</v>
      </c>
      <c r="F41" s="17">
        <f>VLOOKUP(D41,'A13 - Tabelle'!$A$6:$G$13,7)</f>
        <v>44013.52</v>
      </c>
      <c r="G41" s="18">
        <f t="shared" si="0"/>
        <v>41493.52</v>
      </c>
      <c r="H41" s="19"/>
      <c r="I41" s="90"/>
      <c r="J41" s="24"/>
      <c r="K41" s="17"/>
      <c r="L41" s="17"/>
      <c r="M41" s="20"/>
      <c r="N41" s="47"/>
      <c r="O41" s="56"/>
      <c r="P41" s="244"/>
      <c r="R41" s="204"/>
      <c r="S41" s="205">
        <f t="shared" si="1"/>
        <v>5053.36</v>
      </c>
      <c r="T41" s="205">
        <f t="shared" si="4"/>
        <v>1450.31</v>
      </c>
      <c r="U41" s="205">
        <f t="shared" si="4"/>
        <v>0</v>
      </c>
      <c r="V41" s="207">
        <f t="shared" si="2"/>
        <v>6503.67</v>
      </c>
    </row>
    <row r="42" spans="1:22" ht="11.25" customHeight="1">
      <c r="A42" s="8">
        <v>36</v>
      </c>
      <c r="B42" s="8">
        <f t="shared" si="3"/>
        <v>62</v>
      </c>
      <c r="C42" s="8"/>
      <c r="D42" s="16">
        <v>8</v>
      </c>
      <c r="E42" s="17">
        <f>VLOOKUP(D42,'A13 - Tabelle'!$A$6:$F$13,6)</f>
        <v>60640.31999999999</v>
      </c>
      <c r="F42" s="17">
        <f>VLOOKUP(D42,'A13 - Tabelle'!$A$6:$G$13,7)</f>
        <v>44013.52</v>
      </c>
      <c r="G42" s="18">
        <f t="shared" si="0"/>
        <v>41493.52</v>
      </c>
      <c r="H42" s="19"/>
      <c r="I42" s="90"/>
      <c r="J42" s="24"/>
      <c r="K42" s="17"/>
      <c r="L42" s="17"/>
      <c r="M42" s="20"/>
      <c r="N42" s="47"/>
      <c r="O42" s="56"/>
      <c r="P42" s="244"/>
      <c r="R42" s="204"/>
      <c r="S42" s="205">
        <f t="shared" si="1"/>
        <v>5053.36</v>
      </c>
      <c r="T42" s="205">
        <f t="shared" si="4"/>
        <v>1450.31</v>
      </c>
      <c r="U42" s="205">
        <f t="shared" si="4"/>
        <v>0</v>
      </c>
      <c r="V42" s="207">
        <f t="shared" si="2"/>
        <v>6503.67</v>
      </c>
    </row>
    <row r="43" spans="1:22" ht="11.25" customHeight="1">
      <c r="A43" s="8">
        <v>37</v>
      </c>
      <c r="B43" s="8">
        <f t="shared" si="3"/>
        <v>63</v>
      </c>
      <c r="C43" s="8"/>
      <c r="D43" s="16">
        <v>8</v>
      </c>
      <c r="E43" s="17">
        <f>VLOOKUP(D43,'A13 - Tabelle'!$A$6:$F$13,6)</f>
        <v>60640.31999999999</v>
      </c>
      <c r="F43" s="17">
        <f>VLOOKUP(D43,'A13 - Tabelle'!$A$6:$G$13,7)</f>
        <v>44013.52</v>
      </c>
      <c r="G43" s="18">
        <f t="shared" si="0"/>
        <v>41493.52</v>
      </c>
      <c r="H43" s="19"/>
      <c r="I43" s="90"/>
      <c r="J43" s="24"/>
      <c r="K43" s="17"/>
      <c r="L43" s="17"/>
      <c r="M43" s="20"/>
      <c r="N43" s="47"/>
      <c r="O43" s="56"/>
      <c r="P43" s="244"/>
      <c r="R43" s="204"/>
      <c r="S43" s="205">
        <f t="shared" si="1"/>
        <v>5053.36</v>
      </c>
      <c r="T43" s="205">
        <f t="shared" si="4"/>
        <v>1450.31</v>
      </c>
      <c r="U43" s="205">
        <f t="shared" si="4"/>
        <v>0</v>
      </c>
      <c r="V43" s="207">
        <f t="shared" si="2"/>
        <v>6503.67</v>
      </c>
    </row>
    <row r="44" spans="1:22" ht="11.25" customHeight="1">
      <c r="A44" s="8">
        <v>38</v>
      </c>
      <c r="B44" s="8">
        <f t="shared" si="3"/>
        <v>64</v>
      </c>
      <c r="C44" s="8"/>
      <c r="D44" s="16">
        <v>8</v>
      </c>
      <c r="E44" s="17">
        <f>VLOOKUP(D44,'A13 - Tabelle'!$A$6:$F$13,6)</f>
        <v>60640.31999999999</v>
      </c>
      <c r="F44" s="17">
        <f>VLOOKUP(D44,'A13 - Tabelle'!$A$6:$G$13,7)</f>
        <v>44013.52</v>
      </c>
      <c r="G44" s="18">
        <f t="shared" si="0"/>
        <v>41493.52</v>
      </c>
      <c r="H44" s="19"/>
      <c r="I44" s="90"/>
      <c r="J44" s="24"/>
      <c r="K44" s="17"/>
      <c r="L44" s="17"/>
      <c r="M44" s="20"/>
      <c r="N44" s="47"/>
      <c r="O44" s="56"/>
      <c r="P44" s="244"/>
      <c r="R44" s="204"/>
      <c r="S44" s="205">
        <f t="shared" si="1"/>
        <v>5053.36</v>
      </c>
      <c r="T44" s="205">
        <f t="shared" si="4"/>
        <v>1450.31</v>
      </c>
      <c r="U44" s="205">
        <f t="shared" si="4"/>
        <v>0</v>
      </c>
      <c r="V44" s="207">
        <f t="shared" si="2"/>
        <v>6503.67</v>
      </c>
    </row>
    <row r="45" spans="1:22" ht="11.25" customHeight="1">
      <c r="A45" s="8">
        <v>39</v>
      </c>
      <c r="B45" s="8">
        <f t="shared" si="3"/>
        <v>65</v>
      </c>
      <c r="C45" s="8"/>
      <c r="D45" s="16">
        <v>8</v>
      </c>
      <c r="E45" s="17">
        <f>VLOOKUP(D45,'A13 - Tabelle'!$A$6:$F$13,6)</f>
        <v>60640.31999999999</v>
      </c>
      <c r="F45" s="17">
        <f>VLOOKUP(D45,'A13 - Tabelle'!$A$6:$G$13,7)</f>
        <v>44013.52</v>
      </c>
      <c r="G45" s="18">
        <f t="shared" si="0"/>
        <v>41493.52</v>
      </c>
      <c r="H45" s="19"/>
      <c r="I45" s="90"/>
      <c r="J45" s="24"/>
      <c r="K45" s="17"/>
      <c r="L45" s="17"/>
      <c r="M45" s="20"/>
      <c r="N45" s="47"/>
      <c r="O45" s="56"/>
      <c r="P45" s="244"/>
      <c r="R45" s="204"/>
      <c r="S45" s="205">
        <f t="shared" si="1"/>
        <v>5053.36</v>
      </c>
      <c r="T45" s="205">
        <f t="shared" si="4"/>
        <v>1450.31</v>
      </c>
      <c r="U45" s="205">
        <f t="shared" si="4"/>
        <v>0</v>
      </c>
      <c r="V45" s="207">
        <f t="shared" si="2"/>
        <v>6503.67</v>
      </c>
    </row>
    <row r="46" spans="1:22" ht="11.25" customHeight="1">
      <c r="A46" s="8">
        <v>40</v>
      </c>
      <c r="B46" s="8">
        <f t="shared" si="3"/>
        <v>66</v>
      </c>
      <c r="C46" s="8"/>
      <c r="D46" s="21">
        <v>8</v>
      </c>
      <c r="E46" s="17">
        <f>VLOOKUP(D46,'A13 - Tabelle'!$A$6:$F$13,6)</f>
        <v>60640.31999999999</v>
      </c>
      <c r="F46" s="17">
        <f>VLOOKUP(D46,'A13 - Tabelle'!$A$6:$G$13,7)</f>
        <v>44013.52</v>
      </c>
      <c r="G46" s="18">
        <f t="shared" si="0"/>
        <v>41493.52</v>
      </c>
      <c r="H46" s="19"/>
      <c r="I46" s="90"/>
      <c r="J46" s="24"/>
      <c r="K46" s="17"/>
      <c r="L46" s="17"/>
      <c r="M46" s="20"/>
      <c r="N46" s="47"/>
      <c r="O46" s="56"/>
      <c r="P46" s="244"/>
      <c r="R46" s="209"/>
      <c r="S46" s="205">
        <f t="shared" si="1"/>
        <v>5053.36</v>
      </c>
      <c r="T46" s="205">
        <f t="shared" si="4"/>
        <v>1450.31</v>
      </c>
      <c r="U46" s="205">
        <f t="shared" si="4"/>
        <v>0</v>
      </c>
      <c r="V46" s="207">
        <f t="shared" si="2"/>
        <v>6503.67</v>
      </c>
    </row>
    <row r="47" spans="1:22" s="104" customFormat="1" ht="13.5" thickBot="1">
      <c r="A47" s="5"/>
      <c r="B47" s="5"/>
      <c r="C47" s="5"/>
      <c r="D47" s="105" t="s">
        <v>7</v>
      </c>
      <c r="E47" s="106">
        <f>AVERAGE(E7:E46)</f>
        <v>57409.91100000002</v>
      </c>
      <c r="F47" s="106">
        <f>AVERAGE(F7:F46)</f>
        <v>42192.22325000001</v>
      </c>
      <c r="G47" s="99">
        <f>AVERAGE(G7:G46)</f>
        <v>39672.22325000001</v>
      </c>
      <c r="H47" s="100"/>
      <c r="I47" s="101"/>
      <c r="J47" s="101"/>
      <c r="K47" s="100"/>
      <c r="L47" s="100"/>
      <c r="M47" s="102"/>
      <c r="N47" s="103"/>
      <c r="O47" s="102"/>
      <c r="P47" s="268"/>
      <c r="R47" s="210" t="s">
        <v>7</v>
      </c>
      <c r="S47" s="211">
        <f>AVERAGE(S7:S46)</f>
        <v>4784.159249999995</v>
      </c>
      <c r="T47" s="211">
        <f>AVERAGE(T7:T46)</f>
        <v>1450.3099999999993</v>
      </c>
      <c r="U47" s="234">
        <f>AVERAGE(U7:U46)</f>
        <v>0</v>
      </c>
      <c r="V47" s="214">
        <f>AVERAGE(V7:V46)</f>
        <v>6234.469250000006</v>
      </c>
    </row>
    <row r="48" spans="4:22" s="165" customFormat="1" ht="13.5" thickTop="1">
      <c r="D48" s="162" t="s">
        <v>47</v>
      </c>
      <c r="E48" s="163">
        <f>E47/12</f>
        <v>4784.1592500000015</v>
      </c>
      <c r="F48" s="163">
        <f>F47/12</f>
        <v>3516.0186041666675</v>
      </c>
      <c r="G48" s="163">
        <f>G47/12</f>
        <v>3306.0186041666675</v>
      </c>
      <c r="H48" s="163"/>
      <c r="I48" s="164"/>
      <c r="J48" s="163"/>
      <c r="K48" s="163"/>
      <c r="L48" s="163"/>
      <c r="M48" s="166"/>
      <c r="N48" s="31"/>
      <c r="O48" s="31"/>
      <c r="P48" s="268"/>
      <c r="R48" s="161"/>
      <c r="S48" s="161"/>
      <c r="T48" s="161"/>
      <c r="V48" s="161"/>
    </row>
    <row r="49" spans="1:22" ht="12.75">
      <c r="A49" s="245"/>
      <c r="B49" s="245"/>
      <c r="C49" s="245"/>
      <c r="D49" s="244"/>
      <c r="E49" s="269"/>
      <c r="F49" s="270"/>
      <c r="G49" s="271"/>
      <c r="H49" s="272"/>
      <c r="I49" s="273"/>
      <c r="J49" s="273"/>
      <c r="K49" s="274"/>
      <c r="L49" s="275"/>
      <c r="M49" s="276"/>
      <c r="N49" s="276"/>
      <c r="O49" s="277"/>
      <c r="P49" s="244"/>
      <c r="R49" s="217" t="s">
        <v>58</v>
      </c>
      <c r="S49" s="215"/>
      <c r="T49" s="215"/>
      <c r="V49" s="215"/>
    </row>
    <row r="50" ht="12.75">
      <c r="R50" s="8" t="s">
        <v>66</v>
      </c>
    </row>
  </sheetData>
  <sheetProtection/>
  <mergeCells count="1">
    <mergeCell ref="D5:G5"/>
  </mergeCells>
  <printOptions/>
  <pageMargins left="0.24" right="0.18" top="0.19" bottom="0.2" header="0.19" footer="0.17"/>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N27"/>
  <sheetViews>
    <sheetView zoomScalePageLayoutView="0" workbookViewId="0" topLeftCell="A1">
      <selection activeCell="L29" sqref="L29"/>
    </sheetView>
  </sheetViews>
  <sheetFormatPr defaultColWidth="11.421875" defaultRowHeight="12.75"/>
  <cols>
    <col min="1" max="1" width="19.57421875" style="120" customWidth="1"/>
    <col min="2" max="2" width="14.7109375" style="120" hidden="1" customWidth="1"/>
    <col min="3" max="3" width="10.421875" style="142" customWidth="1"/>
    <col min="4" max="4" width="9.7109375" style="137" customWidth="1"/>
    <col min="5" max="5" width="11.421875" style="137" customWidth="1"/>
    <col min="6" max="6" width="10.8515625" style="123" customWidth="1"/>
    <col min="7" max="7" width="10.140625" style="137" customWidth="1"/>
    <col min="8" max="8" width="10.00390625" style="137" customWidth="1"/>
    <col min="9" max="9" width="10.421875" style="141" customWidth="1"/>
    <col min="10" max="10" width="9.8515625" style="127" customWidth="1"/>
    <col min="11" max="11" width="11.140625" style="133" customWidth="1"/>
    <col min="12" max="12" width="10.8515625" style="130" customWidth="1"/>
    <col min="13" max="13" width="4.7109375" style="124" customWidth="1"/>
    <col min="14" max="14" width="15.421875" style="35" customWidth="1"/>
  </cols>
  <sheetData>
    <row r="1" spans="1:14" ht="12.75">
      <c r="A1" s="122" t="s">
        <v>108</v>
      </c>
      <c r="B1" s="122"/>
      <c r="N1" s="176"/>
    </row>
    <row r="2" spans="1:14" ht="12.75">
      <c r="A2" s="121"/>
      <c r="B2" s="121"/>
      <c r="N2" s="176"/>
    </row>
    <row r="3" spans="1:14" ht="12.75">
      <c r="A3" s="338" t="s">
        <v>90</v>
      </c>
      <c r="B3" s="344"/>
      <c r="C3" s="285" t="s">
        <v>35</v>
      </c>
      <c r="D3" s="326" t="s">
        <v>30</v>
      </c>
      <c r="E3" s="327" t="s">
        <v>30</v>
      </c>
      <c r="F3" s="286" t="s">
        <v>35</v>
      </c>
      <c r="G3" s="332" t="s">
        <v>30</v>
      </c>
      <c r="H3" s="333" t="s">
        <v>30</v>
      </c>
      <c r="I3" s="287" t="s">
        <v>41</v>
      </c>
      <c r="J3" s="288" t="s">
        <v>41</v>
      </c>
      <c r="K3" s="293" t="s">
        <v>38</v>
      </c>
      <c r="L3" s="294" t="s">
        <v>38</v>
      </c>
      <c r="N3" s="176"/>
    </row>
    <row r="4" spans="1:14" ht="12.75">
      <c r="A4" s="339" t="s">
        <v>89</v>
      </c>
      <c r="B4" s="345"/>
      <c r="C4" s="289" t="s">
        <v>39</v>
      </c>
      <c r="D4" s="328" t="s">
        <v>87</v>
      </c>
      <c r="E4" s="329" t="s">
        <v>79</v>
      </c>
      <c r="F4" s="290" t="s">
        <v>39</v>
      </c>
      <c r="G4" s="334" t="s">
        <v>87</v>
      </c>
      <c r="H4" s="335" t="s">
        <v>79</v>
      </c>
      <c r="I4" s="289" t="s">
        <v>40</v>
      </c>
      <c r="J4" s="290" t="s">
        <v>40</v>
      </c>
      <c r="K4" s="295" t="s">
        <v>31</v>
      </c>
      <c r="L4" s="296" t="s">
        <v>31</v>
      </c>
      <c r="N4" s="177"/>
    </row>
    <row r="5" spans="1:14" ht="12.75">
      <c r="A5" s="339" t="s">
        <v>33</v>
      </c>
      <c r="B5" s="345"/>
      <c r="C5" s="341" t="s">
        <v>115</v>
      </c>
      <c r="D5" s="328" t="s">
        <v>88</v>
      </c>
      <c r="E5" s="329"/>
      <c r="F5" s="292" t="s">
        <v>36</v>
      </c>
      <c r="G5" s="334" t="s">
        <v>88</v>
      </c>
      <c r="H5" s="335"/>
      <c r="I5" s="340" t="s">
        <v>115</v>
      </c>
      <c r="J5" s="290" t="s">
        <v>37</v>
      </c>
      <c r="K5" s="295" t="s">
        <v>34</v>
      </c>
      <c r="L5" s="296" t="s">
        <v>36</v>
      </c>
      <c r="N5" s="178"/>
    </row>
    <row r="6" spans="1:14" ht="12.75">
      <c r="A6" s="339"/>
      <c r="B6" s="345"/>
      <c r="C6" s="291"/>
      <c r="D6" s="328" t="s">
        <v>2</v>
      </c>
      <c r="E6" s="329"/>
      <c r="F6" s="292"/>
      <c r="G6" s="334" t="s">
        <v>2</v>
      </c>
      <c r="H6" s="335"/>
      <c r="I6" s="289"/>
      <c r="J6" s="290"/>
      <c r="K6" s="295"/>
      <c r="L6" s="296"/>
      <c r="N6" s="178"/>
    </row>
    <row r="7" spans="1:14" s="116" customFormat="1" ht="12.75">
      <c r="A7" s="339">
        <v>1</v>
      </c>
      <c r="B7" s="345"/>
      <c r="C7" s="323">
        <f>D25</f>
        <v>3672.02</v>
      </c>
      <c r="D7" s="330"/>
      <c r="E7" s="331">
        <f aca="true" t="shared" si="0" ref="E7:E13">C$11-C7</f>
        <v>1627.4100000000003</v>
      </c>
      <c r="F7" s="324">
        <f>D26</f>
        <v>2176.86</v>
      </c>
      <c r="G7" s="336"/>
      <c r="H7" s="337">
        <f aca="true" t="shared" si="1" ref="H7:H13">F$11-F7</f>
        <v>726.4499999999998</v>
      </c>
      <c r="I7" s="309">
        <f>C7/2</f>
        <v>1836.01</v>
      </c>
      <c r="J7" s="324">
        <f aca="true" t="shared" si="2" ref="J7:J13">L7-12*F7</f>
        <v>812.9099999999999</v>
      </c>
      <c r="K7" s="325">
        <f aca="true" t="shared" si="3" ref="K7:K13">C7*12+I7</f>
        <v>45900.25</v>
      </c>
      <c r="L7" s="322">
        <v>26935.23</v>
      </c>
      <c r="N7" s="177"/>
    </row>
    <row r="8" spans="1:14" s="117" customFormat="1" ht="12.75">
      <c r="A8" s="339">
        <v>2</v>
      </c>
      <c r="B8" s="345"/>
      <c r="C8" s="309">
        <f>E25</f>
        <v>4075.76</v>
      </c>
      <c r="D8" s="330">
        <f>C8-C7</f>
        <v>403.74000000000024</v>
      </c>
      <c r="E8" s="331">
        <f t="shared" si="0"/>
        <v>1223.67</v>
      </c>
      <c r="F8" s="324">
        <f>E26</f>
        <v>2353.39</v>
      </c>
      <c r="G8" s="336">
        <f>F8-F7</f>
        <v>176.52999999999975</v>
      </c>
      <c r="H8" s="337">
        <f t="shared" si="1"/>
        <v>549.9200000000001</v>
      </c>
      <c r="I8" s="309">
        <f>C8/2</f>
        <v>2037.88</v>
      </c>
      <c r="J8" s="324">
        <f t="shared" si="2"/>
        <v>864.5699999999997</v>
      </c>
      <c r="K8" s="325">
        <f t="shared" si="3"/>
        <v>50947</v>
      </c>
      <c r="L8" s="322">
        <v>29105.25</v>
      </c>
      <c r="N8" s="179"/>
    </row>
    <row r="9" spans="1:14" s="117" customFormat="1" ht="12.75">
      <c r="A9" s="339">
        <v>3</v>
      </c>
      <c r="B9" s="345"/>
      <c r="C9" s="323">
        <f>F25</f>
        <v>4293.17</v>
      </c>
      <c r="D9" s="330">
        <f>C9-C8</f>
        <v>217.40999999999985</v>
      </c>
      <c r="E9" s="331">
        <f t="shared" si="0"/>
        <v>1006.2600000000002</v>
      </c>
      <c r="F9" s="324">
        <f>F26</f>
        <v>2445.42</v>
      </c>
      <c r="G9" s="336">
        <f>F9-F8</f>
        <v>92.0300000000002</v>
      </c>
      <c r="H9" s="337">
        <f t="shared" si="1"/>
        <v>457.8899999999999</v>
      </c>
      <c r="I9" s="309">
        <f>C9/2</f>
        <v>2146.585</v>
      </c>
      <c r="J9" s="324">
        <f t="shared" si="2"/>
        <v>1015.3899999999994</v>
      </c>
      <c r="K9" s="325">
        <f t="shared" si="3"/>
        <v>53664.625</v>
      </c>
      <c r="L9" s="322">
        <v>30360.43</v>
      </c>
      <c r="N9" s="179"/>
    </row>
    <row r="10" spans="1:14" s="117" customFormat="1" ht="12.75">
      <c r="A10" s="339">
        <v>4</v>
      </c>
      <c r="B10" s="345"/>
      <c r="C10" s="323">
        <f>G25</f>
        <v>4715.55</v>
      </c>
      <c r="D10" s="330">
        <f>C10-C9</f>
        <v>422.3800000000001</v>
      </c>
      <c r="E10" s="331">
        <f t="shared" si="0"/>
        <v>583.8800000000001</v>
      </c>
      <c r="F10" s="324">
        <f>G26</f>
        <v>2643.73</v>
      </c>
      <c r="G10" s="336">
        <f>F10-F9</f>
        <v>198.30999999999995</v>
      </c>
      <c r="H10" s="337">
        <f t="shared" si="1"/>
        <v>259.5799999999999</v>
      </c>
      <c r="I10" s="309">
        <f>C10/2</f>
        <v>2357.775</v>
      </c>
      <c r="J10" s="324">
        <f t="shared" si="2"/>
        <v>1073.3199999999997</v>
      </c>
      <c r="K10" s="325">
        <f t="shared" si="3"/>
        <v>58944.37500000001</v>
      </c>
      <c r="L10" s="322">
        <v>32798.08</v>
      </c>
      <c r="N10" s="179"/>
    </row>
    <row r="11" spans="1:14" s="117" customFormat="1" ht="12.75">
      <c r="A11" s="339">
        <v>5</v>
      </c>
      <c r="B11" s="345"/>
      <c r="C11" s="323">
        <f>H25</f>
        <v>5299.43</v>
      </c>
      <c r="D11" s="330">
        <f>C11-C10</f>
        <v>583.8800000000001</v>
      </c>
      <c r="E11" s="331">
        <f t="shared" si="0"/>
        <v>0</v>
      </c>
      <c r="F11" s="324">
        <f>H26</f>
        <v>2903.31</v>
      </c>
      <c r="G11" s="336">
        <f>F11-F10</f>
        <v>259.5799999999999</v>
      </c>
      <c r="H11" s="337">
        <f t="shared" si="1"/>
        <v>0</v>
      </c>
      <c r="I11" s="309">
        <f>C11/2</f>
        <v>2649.715</v>
      </c>
      <c r="J11" s="324">
        <f t="shared" si="2"/>
        <v>1131.2200000000012</v>
      </c>
      <c r="K11" s="325">
        <f t="shared" si="3"/>
        <v>66242.875</v>
      </c>
      <c r="L11" s="322">
        <v>35970.94</v>
      </c>
      <c r="N11" s="179"/>
    </row>
    <row r="12" spans="1:14" s="117" customFormat="1" ht="12.75">
      <c r="A12" s="339">
        <v>6</v>
      </c>
      <c r="B12" s="345"/>
      <c r="C12" s="309">
        <f>I25</f>
        <v>5458.41</v>
      </c>
      <c r="D12" s="330">
        <f>C12-C11</f>
        <v>158.97999999999956</v>
      </c>
      <c r="E12" s="331">
        <f>C$11-C12</f>
        <v>-158.97999999999956</v>
      </c>
      <c r="F12" s="324">
        <f>I26</f>
        <v>2971.24</v>
      </c>
      <c r="G12" s="336">
        <f>F12-F11</f>
        <v>67.92999999999984</v>
      </c>
      <c r="H12" s="337">
        <f>F$11-F12</f>
        <v>-67.92999999999984</v>
      </c>
      <c r="I12" s="309">
        <f>C12/2</f>
        <v>2729.205</v>
      </c>
      <c r="J12" s="324">
        <f t="shared" si="2"/>
        <v>1164.280000000006</v>
      </c>
      <c r="K12" s="325">
        <f t="shared" si="3"/>
        <v>68230.125</v>
      </c>
      <c r="L12" s="322">
        <v>36819.16</v>
      </c>
      <c r="N12" s="179"/>
    </row>
    <row r="13" spans="1:14" s="117" customFormat="1" ht="12.75">
      <c r="A13" s="449">
        <v>7</v>
      </c>
      <c r="B13" s="450"/>
      <c r="C13" s="451">
        <f>C$12+A16</f>
        <v>6273.562</v>
      </c>
      <c r="D13" s="452">
        <f>C13-C11</f>
        <v>974.1319999999996</v>
      </c>
      <c r="E13" s="453">
        <f t="shared" si="0"/>
        <v>-974.1319999999996</v>
      </c>
      <c r="F13" s="454">
        <v>3319.22</v>
      </c>
      <c r="G13" s="455">
        <f>F13-F12</f>
        <v>347.98</v>
      </c>
      <c r="H13" s="456">
        <f t="shared" si="1"/>
        <v>-415.90999999999985</v>
      </c>
      <c r="I13" s="451">
        <f>C13/2</f>
        <v>3136.781</v>
      </c>
      <c r="J13" s="454">
        <f t="shared" si="2"/>
        <v>1283.5800000000017</v>
      </c>
      <c r="K13" s="457">
        <f t="shared" si="3"/>
        <v>78419.52500000001</v>
      </c>
      <c r="L13" s="458">
        <v>41114.22</v>
      </c>
      <c r="N13" s="179"/>
    </row>
    <row r="14" spans="1:14" ht="12.75">
      <c r="A14" s="459" t="s">
        <v>117</v>
      </c>
      <c r="B14" s="460"/>
      <c r="C14" s="460"/>
      <c r="D14" s="460"/>
      <c r="E14" s="460"/>
      <c r="F14" s="464" t="s">
        <v>175</v>
      </c>
      <c r="G14" s="139"/>
      <c r="H14" s="139"/>
      <c r="I14" s="132"/>
      <c r="J14" s="126"/>
      <c r="K14" s="135"/>
      <c r="L14" s="129"/>
      <c r="N14" s="176"/>
    </row>
    <row r="15" spans="1:14" ht="12.75">
      <c r="A15" s="461" t="s">
        <v>116</v>
      </c>
      <c r="B15" s="460"/>
      <c r="C15" s="460"/>
      <c r="D15" s="460"/>
      <c r="E15" s="460"/>
      <c r="F15" s="126">
        <f>F13-F12</f>
        <v>347.98</v>
      </c>
      <c r="G15" s="139"/>
      <c r="I15" s="323"/>
      <c r="J15" s="126"/>
      <c r="K15" s="463">
        <f>K13-K12</f>
        <v>10189.400000000009</v>
      </c>
      <c r="L15" s="129">
        <f>L13-L12</f>
        <v>4295.059999999998</v>
      </c>
      <c r="N15" s="176"/>
    </row>
    <row r="16" spans="1:14" ht="12.75">
      <c r="A16" s="462">
        <f>C8*0.2</f>
        <v>815.152</v>
      </c>
      <c r="B16" s="460"/>
      <c r="C16" s="460"/>
      <c r="D16" s="460"/>
      <c r="E16" s="460"/>
      <c r="F16" s="126"/>
      <c r="G16" s="139"/>
      <c r="H16" s="139"/>
      <c r="I16" s="132"/>
      <c r="J16" s="126"/>
      <c r="K16" s="135"/>
      <c r="L16" s="129"/>
      <c r="N16" s="176"/>
    </row>
    <row r="17" spans="3:14" ht="12.75">
      <c r="C17" s="132"/>
      <c r="D17" s="139"/>
      <c r="E17" s="139"/>
      <c r="F17" s="126"/>
      <c r="G17" s="139"/>
      <c r="H17" s="139"/>
      <c r="I17" s="132"/>
      <c r="J17" s="126"/>
      <c r="K17" s="135"/>
      <c r="L17" s="129"/>
      <c r="N17" s="176"/>
    </row>
    <row r="18" spans="1:14" ht="12.75">
      <c r="A18" s="303" t="s">
        <v>83</v>
      </c>
      <c r="B18" s="303"/>
      <c r="C18" s="194" t="s">
        <v>114</v>
      </c>
      <c r="I18" s="310"/>
      <c r="J18" s="311"/>
      <c r="K18" s="312"/>
      <c r="N18" s="176"/>
    </row>
    <row r="19" ht="12.75">
      <c r="N19" s="176"/>
    </row>
    <row r="20" spans="1:14" ht="12.75">
      <c r="A20" s="167"/>
      <c r="B20" s="167"/>
      <c r="C20" s="168"/>
      <c r="D20" s="169"/>
      <c r="E20" s="169"/>
      <c r="F20" s="170"/>
      <c r="G20" s="169"/>
      <c r="H20" s="169"/>
      <c r="I20" s="171"/>
      <c r="J20" s="172"/>
      <c r="K20" s="173"/>
      <c r="L20" s="174"/>
      <c r="M20" s="175"/>
      <c r="N20" s="176"/>
    </row>
    <row r="24" spans="1:10" ht="12.75">
      <c r="A24" s="321" t="s">
        <v>16</v>
      </c>
      <c r="B24" s="321"/>
      <c r="C24" s="308" t="s">
        <v>2</v>
      </c>
      <c r="D24" s="304">
        <v>1</v>
      </c>
      <c r="E24" s="304">
        <v>2</v>
      </c>
      <c r="F24" s="304">
        <v>3</v>
      </c>
      <c r="G24" s="304">
        <v>4</v>
      </c>
      <c r="H24" s="304">
        <v>5</v>
      </c>
      <c r="I24" s="304">
        <v>6</v>
      </c>
      <c r="J24" s="412"/>
    </row>
    <row r="25" spans="1:10" ht="12.75">
      <c r="A25" s="304" t="s">
        <v>158</v>
      </c>
      <c r="B25" s="304"/>
      <c r="C25" s="304"/>
      <c r="D25" s="319">
        <v>3672.02</v>
      </c>
      <c r="E25" s="319">
        <v>4075.76</v>
      </c>
      <c r="F25" s="319">
        <v>4293.17</v>
      </c>
      <c r="G25" s="319">
        <v>4715.55</v>
      </c>
      <c r="H25" s="319">
        <v>5299.43</v>
      </c>
      <c r="I25" s="319">
        <v>5458.41</v>
      </c>
      <c r="J25" s="413"/>
    </row>
    <row r="26" spans="1:10" ht="12.75">
      <c r="A26" s="304" t="s">
        <v>159</v>
      </c>
      <c r="B26" s="304"/>
      <c r="C26" s="304"/>
      <c r="D26" s="319">
        <v>2176.86</v>
      </c>
      <c r="E26" s="319">
        <v>2353.39</v>
      </c>
      <c r="F26" s="319">
        <v>2445.42</v>
      </c>
      <c r="G26" s="319">
        <v>2643.73</v>
      </c>
      <c r="H26" s="319">
        <v>2903.31</v>
      </c>
      <c r="I26" s="319">
        <v>2971.24</v>
      </c>
      <c r="J26" s="413"/>
    </row>
    <row r="27" ht="12.75">
      <c r="I27" s="307"/>
    </row>
  </sheetData>
  <sheetProtection/>
  <printOptions/>
  <pageMargins left="0.25" right="0.25" top="0.75" bottom="0.7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K30"/>
  <sheetViews>
    <sheetView tabSelected="1" zoomScalePageLayoutView="0" workbookViewId="0" topLeftCell="A1">
      <selection activeCell="G14" sqref="G14"/>
    </sheetView>
  </sheetViews>
  <sheetFormatPr defaultColWidth="11.421875" defaultRowHeight="12.75"/>
  <cols>
    <col min="1" max="1" width="16.00390625" style="0" customWidth="1"/>
    <col min="2" max="2" width="13.28125" style="142" customWidth="1"/>
    <col min="3" max="3" width="12.7109375" style="123" customWidth="1"/>
    <col min="4" max="4" width="12.140625" style="123" customWidth="1"/>
    <col min="5" max="5" width="12.7109375" style="1" customWidth="1"/>
    <col min="6" max="6" width="12.7109375" style="4" customWidth="1"/>
    <col min="7" max="7" width="12.7109375" style="6" customWidth="1"/>
    <col min="8" max="8" width="13.28125" style="2" customWidth="1"/>
    <col min="9" max="9" width="12.421875" style="2" customWidth="1"/>
    <col min="13" max="13" width="11.57421875" style="0" customWidth="1"/>
    <col min="15" max="15" width="11.57421875" style="0" customWidth="1"/>
  </cols>
  <sheetData>
    <row r="1" spans="1:11" ht="12.75">
      <c r="A1" s="2" t="s">
        <v>109</v>
      </c>
      <c r="H1" s="145" t="s">
        <v>9</v>
      </c>
      <c r="I1" s="33">
        <v>210</v>
      </c>
      <c r="K1" s="244"/>
    </row>
    <row r="2" spans="1:11" ht="12.75">
      <c r="A2" s="2"/>
      <c r="K2" s="244"/>
    </row>
    <row r="3" spans="1:11" ht="12.75">
      <c r="A3" s="2"/>
      <c r="B3" s="140" t="s">
        <v>35</v>
      </c>
      <c r="C3" s="124" t="s">
        <v>35</v>
      </c>
      <c r="D3" s="125" t="s">
        <v>45</v>
      </c>
      <c r="E3" s="131" t="s">
        <v>41</v>
      </c>
      <c r="F3" s="134" t="s">
        <v>38</v>
      </c>
      <c r="G3" s="136" t="s">
        <v>38</v>
      </c>
      <c r="H3" s="128" t="s">
        <v>42</v>
      </c>
      <c r="I3" s="138"/>
      <c r="J3" s="138"/>
      <c r="K3" s="244"/>
    </row>
    <row r="4" spans="1:11" ht="12.75">
      <c r="A4" s="121" t="s">
        <v>32</v>
      </c>
      <c r="B4" s="131" t="s">
        <v>39</v>
      </c>
      <c r="C4" s="125" t="s">
        <v>39</v>
      </c>
      <c r="D4" s="125" t="s">
        <v>43</v>
      </c>
      <c r="E4" s="131" t="s">
        <v>40</v>
      </c>
      <c r="F4" s="134" t="s">
        <v>31</v>
      </c>
      <c r="G4" s="136" t="s">
        <v>31</v>
      </c>
      <c r="H4" s="128" t="s">
        <v>43</v>
      </c>
      <c r="I4" s="138"/>
      <c r="J4" s="138"/>
      <c r="K4" s="244"/>
    </row>
    <row r="5" spans="1:11" ht="12.75">
      <c r="A5" s="121" t="s">
        <v>33</v>
      </c>
      <c r="B5" s="342" t="s">
        <v>115</v>
      </c>
      <c r="C5" s="136" t="s">
        <v>36</v>
      </c>
      <c r="D5" s="466" t="s">
        <v>176</v>
      </c>
      <c r="E5" s="343" t="s">
        <v>115</v>
      </c>
      <c r="F5" s="134" t="s">
        <v>115</v>
      </c>
      <c r="G5" s="136" t="s">
        <v>36</v>
      </c>
      <c r="H5" s="465" t="s">
        <v>176</v>
      </c>
      <c r="I5" s="138"/>
      <c r="J5" s="138"/>
      <c r="K5" s="244"/>
    </row>
    <row r="6" spans="1:11" ht="12.75">
      <c r="A6" s="121">
        <v>1</v>
      </c>
      <c r="B6" s="132">
        <f>C28</f>
        <v>3849.02</v>
      </c>
      <c r="C6" s="385">
        <f>C29</f>
        <v>2974.17</v>
      </c>
      <c r="D6" s="126">
        <f aca="true" t="shared" si="0" ref="D6:D12">C6-I$1</f>
        <v>2764.17</v>
      </c>
      <c r="E6" s="317">
        <v>900</v>
      </c>
      <c r="F6" s="146">
        <f>B6*12+E6</f>
        <v>47088.24</v>
      </c>
      <c r="G6" s="318">
        <v>36235.46</v>
      </c>
      <c r="H6" s="148">
        <f aca="true" t="shared" si="1" ref="H6:H13">G6-I$1*12</f>
        <v>33715.46</v>
      </c>
      <c r="I6" s="143"/>
      <c r="J6" s="143"/>
      <c r="K6" s="244"/>
    </row>
    <row r="7" spans="1:11" ht="12.75">
      <c r="A7" s="121">
        <v>2</v>
      </c>
      <c r="B7" s="144">
        <f>D28</f>
        <v>4042.47</v>
      </c>
      <c r="C7" s="384">
        <f>D29</f>
        <v>3090.7</v>
      </c>
      <c r="D7" s="126">
        <f t="shared" si="0"/>
        <v>2880.7</v>
      </c>
      <c r="E7" s="144">
        <f>E$6</f>
        <v>900</v>
      </c>
      <c r="F7" s="146">
        <f aca="true" t="shared" si="2" ref="F7:F13">B7*12+E7</f>
        <v>49409.64</v>
      </c>
      <c r="G7" s="318">
        <v>37624.24</v>
      </c>
      <c r="H7" s="148">
        <f t="shared" si="1"/>
        <v>35104.24</v>
      </c>
      <c r="I7" s="143"/>
      <c r="J7" s="143"/>
      <c r="K7" s="244"/>
    </row>
    <row r="8" spans="1:11" ht="12.75">
      <c r="A8" s="121">
        <v>3</v>
      </c>
      <c r="B8" s="144">
        <f>E28</f>
        <v>4235.9</v>
      </c>
      <c r="C8" s="385">
        <f>E29</f>
        <v>3205.09</v>
      </c>
      <c r="D8" s="126">
        <f t="shared" si="0"/>
        <v>2995.09</v>
      </c>
      <c r="E8" s="144">
        <f aca="true" t="shared" si="3" ref="E8:E13">E$6</f>
        <v>900</v>
      </c>
      <c r="F8" s="146">
        <f t="shared" si="2"/>
        <v>51730.799999999996</v>
      </c>
      <c r="G8" s="318">
        <v>38986.4</v>
      </c>
      <c r="H8" s="148">
        <f t="shared" si="1"/>
        <v>36466.4</v>
      </c>
      <c r="I8" s="143"/>
      <c r="J8" s="143"/>
      <c r="K8" s="244"/>
    </row>
    <row r="9" spans="1:11" ht="12.75">
      <c r="A9" s="121">
        <v>4</v>
      </c>
      <c r="B9" s="144">
        <f>F28</f>
        <v>4430.52</v>
      </c>
      <c r="C9" s="384">
        <f>F29</f>
        <v>3318.12</v>
      </c>
      <c r="D9" s="126">
        <f t="shared" si="0"/>
        <v>3108.12</v>
      </c>
      <c r="E9" s="144">
        <f t="shared" si="3"/>
        <v>900</v>
      </c>
      <c r="F9" s="146">
        <f t="shared" si="2"/>
        <v>54066.240000000005</v>
      </c>
      <c r="G9" s="318">
        <v>40332.25</v>
      </c>
      <c r="H9" s="148">
        <f t="shared" si="1"/>
        <v>37812.25</v>
      </c>
      <c r="I9" s="143"/>
      <c r="J9" s="143"/>
      <c r="K9" s="244"/>
    </row>
    <row r="10" spans="1:11" ht="12.75">
      <c r="A10" s="121">
        <v>5</v>
      </c>
      <c r="B10" s="144">
        <f>G28</f>
        <v>4613.14</v>
      </c>
      <c r="C10" s="385">
        <f>G29</f>
        <v>3422.14</v>
      </c>
      <c r="D10" s="126">
        <f t="shared" si="0"/>
        <v>3212.14</v>
      </c>
      <c r="E10" s="144">
        <f t="shared" si="3"/>
        <v>900</v>
      </c>
      <c r="F10" s="146">
        <f>B10*12+E10</f>
        <v>56257.68000000001</v>
      </c>
      <c r="G10" s="318">
        <v>41572.08</v>
      </c>
      <c r="H10" s="148">
        <f t="shared" si="1"/>
        <v>39052.08</v>
      </c>
      <c r="I10" s="143"/>
      <c r="J10" s="143"/>
      <c r="K10" s="244"/>
    </row>
    <row r="11" spans="1:11" ht="12.75">
      <c r="A11" s="121">
        <v>6</v>
      </c>
      <c r="B11" s="144">
        <f>H28</f>
        <v>4699.65</v>
      </c>
      <c r="C11" s="384">
        <f>H29</f>
        <v>3470.76</v>
      </c>
      <c r="D11" s="126">
        <f t="shared" si="0"/>
        <v>3260.76</v>
      </c>
      <c r="E11" s="144">
        <f t="shared" si="3"/>
        <v>900</v>
      </c>
      <c r="F11" s="146">
        <f t="shared" si="2"/>
        <v>57295.799999999996</v>
      </c>
      <c r="G11" s="318">
        <v>42151.28</v>
      </c>
      <c r="H11" s="148">
        <f t="shared" si="1"/>
        <v>39631.28</v>
      </c>
      <c r="I11" s="143"/>
      <c r="J11" s="143"/>
      <c r="K11" s="244"/>
    </row>
    <row r="12" spans="1:11" ht="12.75">
      <c r="A12" s="121">
        <v>7</v>
      </c>
      <c r="B12" s="144">
        <f>I28</f>
        <v>4882.26</v>
      </c>
      <c r="C12" s="385">
        <f>I29</f>
        <v>3572.58</v>
      </c>
      <c r="D12" s="126">
        <f t="shared" si="0"/>
        <v>3362.58</v>
      </c>
      <c r="E12" s="144">
        <f t="shared" si="3"/>
        <v>900</v>
      </c>
      <c r="F12" s="146">
        <f t="shared" si="2"/>
        <v>59487.12</v>
      </c>
      <c r="G12" s="318">
        <v>43372</v>
      </c>
      <c r="H12" s="148">
        <f t="shared" si="1"/>
        <v>40852</v>
      </c>
      <c r="I12" s="143"/>
      <c r="J12" s="143"/>
      <c r="K12" s="244"/>
    </row>
    <row r="13" spans="1:11" ht="12.75">
      <c r="A13" s="121">
        <v>8</v>
      </c>
      <c r="B13" s="144">
        <f>J28</f>
        <v>4978.36</v>
      </c>
      <c r="C13" s="384">
        <f>J29</f>
        <v>3626.03</v>
      </c>
      <c r="D13" s="126">
        <f>C13-I$1</f>
        <v>3416.03</v>
      </c>
      <c r="E13" s="144">
        <f t="shared" si="3"/>
        <v>900</v>
      </c>
      <c r="F13" s="146">
        <f t="shared" si="2"/>
        <v>60640.31999999999</v>
      </c>
      <c r="G13" s="318">
        <v>44013.52</v>
      </c>
      <c r="H13" s="148">
        <f t="shared" si="1"/>
        <v>41493.52</v>
      </c>
      <c r="I13" s="143"/>
      <c r="J13" s="143"/>
      <c r="K13" s="244"/>
    </row>
    <row r="14" spans="1:11" ht="12.75">
      <c r="A14" s="118" t="s">
        <v>80</v>
      </c>
      <c r="B14" s="144">
        <f>B13*0.7175</f>
        <v>3571.9733</v>
      </c>
      <c r="C14" s="126"/>
      <c r="D14" s="149"/>
      <c r="E14" s="144"/>
      <c r="F14" s="146">
        <f>B14*12+E14</f>
        <v>42863.6796</v>
      </c>
      <c r="G14" s="147"/>
      <c r="H14" s="148"/>
      <c r="I14" s="148"/>
      <c r="J14" s="5"/>
      <c r="K14" s="244"/>
    </row>
    <row r="15" spans="2:11" ht="12.75">
      <c r="B15" s="283" t="s">
        <v>84</v>
      </c>
      <c r="C15" s="282" t="s">
        <v>85</v>
      </c>
      <c r="D15" s="149"/>
      <c r="K15" s="244"/>
    </row>
    <row r="16" spans="2:11" ht="12.75">
      <c r="B16" s="144"/>
      <c r="C16" s="149"/>
      <c r="D16" s="149"/>
      <c r="E16" s="5"/>
      <c r="K16" s="244"/>
    </row>
    <row r="17" spans="2:11" ht="12.75">
      <c r="B17" s="316" t="s">
        <v>111</v>
      </c>
      <c r="K17" s="244"/>
    </row>
    <row r="18" spans="7:11" ht="12.75">
      <c r="G18" s="243" t="s">
        <v>82</v>
      </c>
      <c r="H18" s="42">
        <f>'E13 - Modell'!K47</f>
        <v>35193.825999999994</v>
      </c>
      <c r="I18" s="42"/>
      <c r="K18" s="244"/>
    </row>
    <row r="19" spans="7:11" ht="12.75">
      <c r="G19" s="243" t="s">
        <v>81</v>
      </c>
      <c r="H19" s="42">
        <f>'E13 - Tabelle'!L11</f>
        <v>35970.94</v>
      </c>
      <c r="I19" s="42"/>
      <c r="K19" s="244"/>
    </row>
    <row r="20" ht="12.75">
      <c r="K20" s="244"/>
    </row>
    <row r="21" spans="1:11" ht="12.75">
      <c r="A21" s="22" t="s">
        <v>83</v>
      </c>
      <c r="B21" s="313" t="s">
        <v>110</v>
      </c>
      <c r="K21" s="244"/>
    </row>
    <row r="22" ht="12.75">
      <c r="K22" s="244"/>
    </row>
    <row r="23" spans="1:11" ht="12.75">
      <c r="A23" s="244"/>
      <c r="B23" s="278"/>
      <c r="C23" s="279"/>
      <c r="D23" s="279"/>
      <c r="E23" s="280"/>
      <c r="F23" s="271"/>
      <c r="G23" s="270"/>
      <c r="H23" s="281"/>
      <c r="I23" s="281"/>
      <c r="J23" s="244"/>
      <c r="K23" s="244"/>
    </row>
    <row r="27" spans="1:10" ht="12.75">
      <c r="A27" s="321" t="s">
        <v>16</v>
      </c>
      <c r="B27" s="308" t="s">
        <v>177</v>
      </c>
      <c r="C27" s="305">
        <v>1</v>
      </c>
      <c r="D27" s="305">
        <v>2</v>
      </c>
      <c r="E27" s="306">
        <v>3</v>
      </c>
      <c r="F27" s="306">
        <v>4</v>
      </c>
      <c r="G27" s="306">
        <v>5</v>
      </c>
      <c r="H27" s="305">
        <v>6</v>
      </c>
      <c r="I27" s="305">
        <v>7</v>
      </c>
      <c r="J27" s="305">
        <v>8</v>
      </c>
    </row>
    <row r="28" spans="1:10" ht="12.75">
      <c r="A28" s="304" t="s">
        <v>158</v>
      </c>
      <c r="B28" s="304"/>
      <c r="C28" s="319">
        <v>3849.02</v>
      </c>
      <c r="D28" s="319">
        <v>4042.47</v>
      </c>
      <c r="E28" s="320">
        <v>4235.9</v>
      </c>
      <c r="F28" s="320">
        <v>4430.52</v>
      </c>
      <c r="G28" s="320">
        <v>4613.14</v>
      </c>
      <c r="H28" s="319">
        <v>4699.65</v>
      </c>
      <c r="I28" s="319">
        <v>4882.26</v>
      </c>
      <c r="J28" s="319">
        <v>4978.36</v>
      </c>
    </row>
    <row r="29" spans="1:10" ht="12.75">
      <c r="A29" s="304" t="s">
        <v>159</v>
      </c>
      <c r="B29" s="304"/>
      <c r="C29" s="319">
        <v>2974.17</v>
      </c>
      <c r="D29" s="319">
        <v>3090.7</v>
      </c>
      <c r="E29" s="320">
        <v>3205.09</v>
      </c>
      <c r="F29" s="320">
        <v>3318.12</v>
      </c>
      <c r="G29" s="320">
        <v>3422.14</v>
      </c>
      <c r="H29" s="319">
        <v>3470.76</v>
      </c>
      <c r="I29" s="319">
        <v>3572.58</v>
      </c>
      <c r="J29" s="319">
        <v>3626.03</v>
      </c>
    </row>
    <row r="30" spans="2:10" ht="12.75">
      <c r="B30" s="117"/>
      <c r="C30" s="117"/>
      <c r="D30" s="117"/>
      <c r="E30" s="6"/>
      <c r="F30" s="6"/>
      <c r="H30" s="117"/>
      <c r="I30" s="117"/>
      <c r="J30" s="117"/>
    </row>
  </sheetData>
  <sheetProtection/>
  <hyperlinks>
    <hyperlink ref="C15" r:id="rId1" display="http://www.brutto-netto-rechner.info"/>
  </hyperlinks>
  <printOptions/>
  <pageMargins left="0.25" right="0.25" top="0.75" bottom="0.75" header="0.3" footer="0.3"/>
  <pageSetup horizontalDpi="600" verticalDpi="600" orientation="landscape" paperSize="9" r:id="rId2"/>
</worksheet>
</file>

<file path=xl/worksheets/sheet15.xml><?xml version="1.0" encoding="utf-8"?>
<worksheet xmlns="http://schemas.openxmlformats.org/spreadsheetml/2006/main" xmlns:r="http://schemas.openxmlformats.org/officeDocument/2006/relationships">
  <dimension ref="A1:V50"/>
  <sheetViews>
    <sheetView zoomScalePageLayoutView="0" workbookViewId="0" topLeftCell="A1">
      <selection activeCell="T4" sqref="T4"/>
    </sheetView>
  </sheetViews>
  <sheetFormatPr defaultColWidth="11.421875" defaultRowHeight="12.75"/>
  <cols>
    <col min="1" max="1" width="5.7109375" style="5" customWidth="1"/>
    <col min="2" max="2" width="3.8515625" style="5" customWidth="1"/>
    <col min="3" max="3" width="2.28125" style="5" customWidth="1"/>
    <col min="4" max="4" width="4.421875" style="0" customWidth="1"/>
    <col min="5" max="5" width="11.00390625" style="3" customWidth="1"/>
    <col min="6" max="6" width="11.140625" style="6" customWidth="1"/>
    <col min="7" max="7" width="11.7109375" style="4" customWidth="1"/>
    <col min="8" max="8" width="2.421875" style="7" customWidth="1"/>
    <col min="9" max="9" width="4.140625" style="0" customWidth="1"/>
    <col min="10" max="10" width="6.140625" style="0" customWidth="1"/>
    <col min="11" max="11" width="11.421875" style="3" customWidth="1"/>
    <col min="12" max="12" width="11.57421875" style="4" customWidth="1"/>
    <col min="13" max="13" width="11.421875" style="26" customWidth="1"/>
    <col min="14" max="14" width="11.00390625" style="26" customWidth="1"/>
    <col min="15" max="15" width="13.8515625" style="6" customWidth="1"/>
    <col min="16" max="16" width="3.7109375" style="0" customWidth="1"/>
    <col min="17" max="17" width="3.8515625" style="0" customWidth="1"/>
    <col min="18" max="18" width="3.421875" style="0" customWidth="1"/>
    <col min="20" max="20" width="10.00390625" style="0" customWidth="1"/>
    <col min="21" max="21" width="10.28125" style="5" customWidth="1"/>
  </cols>
  <sheetData>
    <row r="1" spans="4:22" ht="12.75" customHeight="1">
      <c r="D1" s="34" t="s">
        <v>26</v>
      </c>
      <c r="J1" s="22" t="s">
        <v>123</v>
      </c>
      <c r="K1" s="33">
        <v>210</v>
      </c>
      <c r="P1" s="244"/>
      <c r="R1" s="197"/>
      <c r="T1" s="237" t="s">
        <v>67</v>
      </c>
      <c r="U1" s="238" t="s">
        <v>68</v>
      </c>
      <c r="V1" s="2"/>
    </row>
    <row r="2" spans="16:22" ht="2.25" customHeight="1">
      <c r="P2" s="244"/>
      <c r="R2" s="197"/>
      <c r="T2" s="68"/>
      <c r="U2" s="180"/>
      <c r="V2" s="2"/>
    </row>
    <row r="3" spans="1:22" ht="12.75">
      <c r="A3" s="8"/>
      <c r="B3" s="8"/>
      <c r="C3" s="8"/>
      <c r="D3" s="40" t="s">
        <v>125</v>
      </c>
      <c r="E3" s="10"/>
      <c r="F3" s="10"/>
      <c r="G3" s="11"/>
      <c r="H3" s="12"/>
      <c r="I3" s="90"/>
      <c r="J3" s="90"/>
      <c r="K3" s="91"/>
      <c r="L3" s="92"/>
      <c r="M3" s="93"/>
      <c r="N3" s="27"/>
      <c r="O3" s="23"/>
      <c r="P3" s="244"/>
      <c r="R3" s="197"/>
      <c r="T3" s="205">
        <v>1566.41</v>
      </c>
      <c r="U3" s="205"/>
      <c r="V3" s="2"/>
    </row>
    <row r="4" spans="1:22" ht="3" customHeight="1">
      <c r="A4" s="8"/>
      <c r="B4" s="8"/>
      <c r="C4" s="8"/>
      <c r="D4" s="9"/>
      <c r="E4" s="10"/>
      <c r="F4" s="10"/>
      <c r="G4" s="11"/>
      <c r="H4" s="12"/>
      <c r="I4" s="90"/>
      <c r="J4" s="90"/>
      <c r="K4" s="91"/>
      <c r="L4" s="92"/>
      <c r="M4" s="93"/>
      <c r="N4" s="27"/>
      <c r="O4" s="23"/>
      <c r="P4" s="244"/>
      <c r="R4" s="197"/>
      <c r="V4" s="2"/>
    </row>
    <row r="5" spans="1:22" ht="35.25" customHeight="1">
      <c r="A5" s="8"/>
      <c r="B5" s="8"/>
      <c r="C5" s="8"/>
      <c r="D5" s="398" t="s">
        <v>107</v>
      </c>
      <c r="E5" s="410"/>
      <c r="F5" s="410"/>
      <c r="G5" s="411"/>
      <c r="H5" s="25"/>
      <c r="I5" s="97"/>
      <c r="J5" s="97"/>
      <c r="K5" s="98"/>
      <c r="L5" s="98"/>
      <c r="M5" s="98"/>
      <c r="N5" s="69"/>
      <c r="O5" s="58"/>
      <c r="P5" s="244"/>
      <c r="R5" s="2" t="s">
        <v>50</v>
      </c>
      <c r="T5" s="220"/>
      <c r="U5" s="233"/>
      <c r="V5" s="2"/>
    </row>
    <row r="6" spans="1:22" ht="33" customHeight="1">
      <c r="A6" s="107" t="s">
        <v>29</v>
      </c>
      <c r="B6" s="13" t="s">
        <v>1</v>
      </c>
      <c r="C6" s="13"/>
      <c r="D6" s="59" t="s">
        <v>2</v>
      </c>
      <c r="E6" s="60" t="s">
        <v>4</v>
      </c>
      <c r="F6" s="60" t="s">
        <v>3</v>
      </c>
      <c r="G6" s="61" t="s">
        <v>23</v>
      </c>
      <c r="H6" s="15"/>
      <c r="I6" s="94"/>
      <c r="J6" s="95"/>
      <c r="K6" s="14"/>
      <c r="L6" s="14"/>
      <c r="M6" s="96"/>
      <c r="N6" s="48"/>
      <c r="O6" s="67"/>
      <c r="P6" s="244"/>
      <c r="R6" s="199"/>
      <c r="S6" s="200" t="s">
        <v>63</v>
      </c>
      <c r="T6" s="235" t="s">
        <v>64</v>
      </c>
      <c r="U6" s="236" t="s">
        <v>65</v>
      </c>
      <c r="V6" s="202" t="s">
        <v>56</v>
      </c>
    </row>
    <row r="7" spans="1:22" ht="11.25" customHeight="1">
      <c r="A7" s="8">
        <v>1</v>
      </c>
      <c r="B7" s="8">
        <v>27</v>
      </c>
      <c r="C7" s="8"/>
      <c r="D7" s="346">
        <v>4</v>
      </c>
      <c r="E7" s="17">
        <f>VLOOKUP(D7,'A13 BY - Tabelle'!$A$6:$G$13,6)</f>
        <v>53256.09</v>
      </c>
      <c r="F7" s="17">
        <f>VLOOKUP(D7,'A13 BY - Tabelle'!$A$6:$G$13,7)</f>
        <v>40006.35</v>
      </c>
      <c r="G7" s="18">
        <f aca="true" t="shared" si="0" ref="G7:G46">F7-12*$K$1</f>
        <v>37486.35</v>
      </c>
      <c r="H7" s="19"/>
      <c r="I7" s="90"/>
      <c r="J7" s="24"/>
      <c r="K7" s="17"/>
      <c r="L7" s="17"/>
      <c r="M7" s="20"/>
      <c r="N7" s="47"/>
      <c r="O7" s="56"/>
      <c r="P7" s="244"/>
      <c r="R7" s="204"/>
      <c r="S7" s="205">
        <f>E7/12</f>
        <v>4438.0075</v>
      </c>
      <c r="T7" s="205">
        <f>T$3</f>
        <v>1566.41</v>
      </c>
      <c r="U7" s="205">
        <f>U$3</f>
        <v>0</v>
      </c>
      <c r="V7" s="207">
        <f>SUM(S7:U7)</f>
        <v>6004.4175</v>
      </c>
    </row>
    <row r="8" spans="1:22" ht="11.25" customHeight="1">
      <c r="A8" s="8">
        <v>2</v>
      </c>
      <c r="B8" s="8">
        <f>B7+1</f>
        <v>28</v>
      </c>
      <c r="C8" s="8"/>
      <c r="D8" s="346">
        <v>4</v>
      </c>
      <c r="E8" s="17">
        <f>VLOOKUP(D8,'A13 BY - Tabelle'!$A$6:$G$13,6)</f>
        <v>53256.09</v>
      </c>
      <c r="F8" s="17">
        <f>VLOOKUP(D8,'A13 BY - Tabelle'!$A$6:$G$13,7)</f>
        <v>40006.35</v>
      </c>
      <c r="G8" s="18">
        <f t="shared" si="0"/>
        <v>37486.35</v>
      </c>
      <c r="H8" s="19"/>
      <c r="I8" s="90"/>
      <c r="J8" s="24"/>
      <c r="K8" s="17"/>
      <c r="L8" s="17"/>
      <c r="M8" s="20"/>
      <c r="N8" s="47"/>
      <c r="O8" s="56"/>
      <c r="P8" s="244"/>
      <c r="R8" s="204"/>
      <c r="S8" s="205">
        <f aca="true" t="shared" si="1" ref="S8:S46">E8/12</f>
        <v>4438.0075</v>
      </c>
      <c r="T8" s="205">
        <f>T$3</f>
        <v>1566.41</v>
      </c>
      <c r="U8" s="205">
        <f>U$3</f>
        <v>0</v>
      </c>
      <c r="V8" s="207">
        <f aca="true" t="shared" si="2" ref="V8:V46">SUM(S8:U8)</f>
        <v>6004.4175</v>
      </c>
    </row>
    <row r="9" spans="1:22" ht="11.25" customHeight="1">
      <c r="A9" s="8">
        <v>3</v>
      </c>
      <c r="B9" s="8">
        <f aca="true" t="shared" si="3" ref="B9:B46">B8+1</f>
        <v>29</v>
      </c>
      <c r="C9" s="8"/>
      <c r="D9" s="346">
        <v>5</v>
      </c>
      <c r="E9" s="17">
        <f>VLOOKUP(D9,'A13 BY - Tabelle'!$A$6:$G$13,6)</f>
        <v>55551.05</v>
      </c>
      <c r="F9" s="17">
        <f>VLOOKUP(D9,'A13 BY - Tabelle'!$A$6:$G$13,7)</f>
        <v>41321.21</v>
      </c>
      <c r="G9" s="18">
        <f t="shared" si="0"/>
        <v>38801.21</v>
      </c>
      <c r="H9" s="19"/>
      <c r="I9" s="90"/>
      <c r="J9" s="24"/>
      <c r="K9" s="17"/>
      <c r="L9" s="17"/>
      <c r="M9" s="20"/>
      <c r="N9" s="47"/>
      <c r="O9" s="56"/>
      <c r="P9" s="244"/>
      <c r="R9" s="204"/>
      <c r="S9" s="205">
        <f t="shared" si="1"/>
        <v>4629.254166666667</v>
      </c>
      <c r="T9" s="205">
        <f aca="true" t="shared" si="4" ref="T9:U46">T$3</f>
        <v>1566.41</v>
      </c>
      <c r="U9" s="205">
        <f t="shared" si="4"/>
        <v>0</v>
      </c>
      <c r="V9" s="207">
        <f t="shared" si="2"/>
        <v>6195.6641666666665</v>
      </c>
    </row>
    <row r="10" spans="1:22" ht="11.25" customHeight="1">
      <c r="A10" s="8">
        <v>4</v>
      </c>
      <c r="B10" s="8">
        <f t="shared" si="3"/>
        <v>30</v>
      </c>
      <c r="C10" s="8"/>
      <c r="D10" s="346">
        <v>5</v>
      </c>
      <c r="E10" s="17">
        <f>VLOOKUP(D10,'A13 BY - Tabelle'!$A$6:$G$13,6)</f>
        <v>55551.05</v>
      </c>
      <c r="F10" s="17">
        <f>VLOOKUP(D10,'A13 BY - Tabelle'!$A$6:$G$13,7)</f>
        <v>41321.21</v>
      </c>
      <c r="G10" s="18">
        <f t="shared" si="0"/>
        <v>38801.21</v>
      </c>
      <c r="H10" s="19"/>
      <c r="I10" s="90"/>
      <c r="J10" s="24"/>
      <c r="K10" s="17"/>
      <c r="L10" s="17"/>
      <c r="M10" s="20"/>
      <c r="N10" s="47"/>
      <c r="O10" s="56"/>
      <c r="P10" s="244"/>
      <c r="R10" s="204"/>
      <c r="S10" s="205">
        <f t="shared" si="1"/>
        <v>4629.254166666667</v>
      </c>
      <c r="T10" s="205">
        <f t="shared" si="4"/>
        <v>1566.41</v>
      </c>
      <c r="U10" s="205">
        <f t="shared" si="4"/>
        <v>0</v>
      </c>
      <c r="V10" s="207">
        <f t="shared" si="2"/>
        <v>6195.6641666666665</v>
      </c>
    </row>
    <row r="11" spans="1:22" ht="11.25" customHeight="1">
      <c r="A11" s="8">
        <v>5</v>
      </c>
      <c r="B11" s="8">
        <f t="shared" si="3"/>
        <v>31</v>
      </c>
      <c r="C11" s="8"/>
      <c r="D11" s="346">
        <v>5</v>
      </c>
      <c r="E11" s="17">
        <f>VLOOKUP(D11,'A13 BY - Tabelle'!$A$6:$G$13,6)</f>
        <v>55551.05</v>
      </c>
      <c r="F11" s="17">
        <f>VLOOKUP(D11,'A13 BY - Tabelle'!$A$6:$G$13,7)</f>
        <v>41321.21</v>
      </c>
      <c r="G11" s="18">
        <f t="shared" si="0"/>
        <v>38801.21</v>
      </c>
      <c r="H11" s="19"/>
      <c r="I11" s="90"/>
      <c r="J11" s="24"/>
      <c r="K11" s="17"/>
      <c r="L11" s="17"/>
      <c r="M11" s="20"/>
      <c r="N11" s="47"/>
      <c r="O11" s="56"/>
      <c r="P11" s="244"/>
      <c r="R11" s="204"/>
      <c r="S11" s="205">
        <f t="shared" si="1"/>
        <v>4629.254166666667</v>
      </c>
      <c r="T11" s="205">
        <f t="shared" si="4"/>
        <v>1566.41</v>
      </c>
      <c r="U11" s="205">
        <f t="shared" si="4"/>
        <v>0</v>
      </c>
      <c r="V11" s="207">
        <f t="shared" si="2"/>
        <v>6195.6641666666665</v>
      </c>
    </row>
    <row r="12" spans="1:22" ht="11.25" customHeight="1">
      <c r="A12" s="8">
        <v>6</v>
      </c>
      <c r="B12" s="8">
        <f t="shared" si="3"/>
        <v>32</v>
      </c>
      <c r="C12" s="8"/>
      <c r="D12" s="346">
        <v>6</v>
      </c>
      <c r="E12" s="17">
        <f>VLOOKUP(D12,'A13 BY - Tabelle'!$A$6:$G$13,6)</f>
        <v>57845.5</v>
      </c>
      <c r="F12" s="17">
        <f>VLOOKUP(D12,'A13 BY - Tabelle'!$A$6:$G$13,7)</f>
        <v>42611.3</v>
      </c>
      <c r="G12" s="18">
        <f t="shared" si="0"/>
        <v>40091.3</v>
      </c>
      <c r="H12" s="19"/>
      <c r="I12" s="90"/>
      <c r="J12" s="24"/>
      <c r="K12" s="17"/>
      <c r="L12" s="17"/>
      <c r="M12" s="20"/>
      <c r="N12" s="47"/>
      <c r="O12" s="56"/>
      <c r="P12" s="244"/>
      <c r="R12" s="204"/>
      <c r="S12" s="205">
        <f t="shared" si="1"/>
        <v>4820.458333333333</v>
      </c>
      <c r="T12" s="205">
        <f t="shared" si="4"/>
        <v>1566.41</v>
      </c>
      <c r="U12" s="205">
        <f t="shared" si="4"/>
        <v>0</v>
      </c>
      <c r="V12" s="207">
        <f t="shared" si="2"/>
        <v>6386.868333333333</v>
      </c>
    </row>
    <row r="13" spans="1:22" ht="11.25" customHeight="1">
      <c r="A13" s="8">
        <v>7</v>
      </c>
      <c r="B13" s="8">
        <f t="shared" si="3"/>
        <v>33</v>
      </c>
      <c r="C13" s="8"/>
      <c r="D13" s="346">
        <v>6</v>
      </c>
      <c r="E13" s="17">
        <f>VLOOKUP(D13,'A13 BY - Tabelle'!$A$6:$G$13,6)</f>
        <v>57845.5</v>
      </c>
      <c r="F13" s="17">
        <f>VLOOKUP(D13,'A13 BY - Tabelle'!$A$6:$G$13,7)</f>
        <v>42611.3</v>
      </c>
      <c r="G13" s="18">
        <f t="shared" si="0"/>
        <v>40091.3</v>
      </c>
      <c r="H13" s="19"/>
      <c r="I13" s="90"/>
      <c r="J13" s="24"/>
      <c r="K13" s="17"/>
      <c r="L13" s="17"/>
      <c r="M13" s="20"/>
      <c r="N13" s="47"/>
      <c r="O13" s="56"/>
      <c r="P13" s="244"/>
      <c r="R13" s="204"/>
      <c r="S13" s="205">
        <f t="shared" si="1"/>
        <v>4820.458333333333</v>
      </c>
      <c r="T13" s="205">
        <f t="shared" si="4"/>
        <v>1566.41</v>
      </c>
      <c r="U13" s="205">
        <f t="shared" si="4"/>
        <v>0</v>
      </c>
      <c r="V13" s="207">
        <f t="shared" si="2"/>
        <v>6386.868333333333</v>
      </c>
    </row>
    <row r="14" spans="1:22" ht="11.25" customHeight="1">
      <c r="A14" s="8">
        <v>8</v>
      </c>
      <c r="B14" s="8">
        <f t="shared" si="3"/>
        <v>34</v>
      </c>
      <c r="C14" s="8"/>
      <c r="D14" s="346">
        <v>6</v>
      </c>
      <c r="E14" s="17">
        <f>VLOOKUP(D14,'A13 BY - Tabelle'!$A$6:$G$13,6)</f>
        <v>57845.5</v>
      </c>
      <c r="F14" s="17">
        <f>VLOOKUP(D14,'A13 BY - Tabelle'!$A$6:$G$13,7)</f>
        <v>42611.3</v>
      </c>
      <c r="G14" s="18">
        <f t="shared" si="0"/>
        <v>40091.3</v>
      </c>
      <c r="H14" s="19"/>
      <c r="I14" s="90"/>
      <c r="J14" s="24"/>
      <c r="K14" s="17"/>
      <c r="L14" s="17"/>
      <c r="M14" s="20"/>
      <c r="N14" s="47"/>
      <c r="O14" s="56"/>
      <c r="P14" s="244"/>
      <c r="R14" s="204"/>
      <c r="S14" s="205">
        <f t="shared" si="1"/>
        <v>4820.458333333333</v>
      </c>
      <c r="T14" s="205">
        <f t="shared" si="4"/>
        <v>1566.41</v>
      </c>
      <c r="U14" s="205">
        <f t="shared" si="4"/>
        <v>0</v>
      </c>
      <c r="V14" s="207">
        <f t="shared" si="2"/>
        <v>6386.868333333333</v>
      </c>
    </row>
    <row r="15" spans="1:22" ht="11.25" customHeight="1">
      <c r="A15" s="8">
        <v>9</v>
      </c>
      <c r="B15" s="8">
        <f t="shared" si="3"/>
        <v>35</v>
      </c>
      <c r="C15" s="8"/>
      <c r="D15" s="346">
        <v>7</v>
      </c>
      <c r="E15" s="17">
        <f>VLOOKUP(D15,'A13 BY - Tabelle'!$A$6:$G$13,6)</f>
        <v>59375.27</v>
      </c>
      <c r="F15" s="17">
        <f>VLOOKUP(D15,'A13 BY - Tabelle'!$A$6:$G$13,7)</f>
        <v>43463.76</v>
      </c>
      <c r="G15" s="18">
        <f t="shared" si="0"/>
        <v>40943.76</v>
      </c>
      <c r="H15" s="19"/>
      <c r="I15" s="90"/>
      <c r="J15" s="24"/>
      <c r="K15" s="17"/>
      <c r="L15" s="17"/>
      <c r="M15" s="20"/>
      <c r="N15" s="47"/>
      <c r="O15" s="56"/>
      <c r="P15" s="244"/>
      <c r="R15" s="204"/>
      <c r="S15" s="205">
        <f t="shared" si="1"/>
        <v>4947.939166666666</v>
      </c>
      <c r="T15" s="205">
        <f t="shared" si="4"/>
        <v>1566.41</v>
      </c>
      <c r="U15" s="205">
        <f t="shared" si="4"/>
        <v>0</v>
      </c>
      <c r="V15" s="207">
        <f t="shared" si="2"/>
        <v>6514.349166666666</v>
      </c>
    </row>
    <row r="16" spans="1:22" ht="11.25" customHeight="1">
      <c r="A16" s="8">
        <v>10</v>
      </c>
      <c r="B16" s="8">
        <f t="shared" si="3"/>
        <v>36</v>
      </c>
      <c r="C16" s="8"/>
      <c r="D16" s="346">
        <v>7</v>
      </c>
      <c r="E16" s="17">
        <f>VLOOKUP(D16,'A13 BY - Tabelle'!$A$6:$G$13,6)</f>
        <v>59375.27</v>
      </c>
      <c r="F16" s="17">
        <f>VLOOKUP(D16,'A13 BY - Tabelle'!$A$6:$G$13,7)</f>
        <v>43463.76</v>
      </c>
      <c r="G16" s="18">
        <f t="shared" si="0"/>
        <v>40943.76</v>
      </c>
      <c r="H16" s="19"/>
      <c r="I16" s="90"/>
      <c r="J16" s="24"/>
      <c r="K16" s="17"/>
      <c r="L16" s="17"/>
      <c r="M16" s="20"/>
      <c r="N16" s="47"/>
      <c r="O16" s="56"/>
      <c r="P16" s="244"/>
      <c r="R16" s="204"/>
      <c r="S16" s="205">
        <f t="shared" si="1"/>
        <v>4947.939166666666</v>
      </c>
      <c r="T16" s="205">
        <f t="shared" si="4"/>
        <v>1566.41</v>
      </c>
      <c r="U16" s="205">
        <f t="shared" si="4"/>
        <v>0</v>
      </c>
      <c r="V16" s="207">
        <f t="shared" si="2"/>
        <v>6514.349166666666</v>
      </c>
    </row>
    <row r="17" spans="1:22" ht="11.25" customHeight="1">
      <c r="A17" s="8">
        <v>11</v>
      </c>
      <c r="B17" s="8">
        <f t="shared" si="3"/>
        <v>37</v>
      </c>
      <c r="C17" s="8"/>
      <c r="D17" s="346">
        <v>7</v>
      </c>
      <c r="E17" s="17">
        <f>VLOOKUP(D17,'A13 BY - Tabelle'!$A$6:$G$13,6)</f>
        <v>59375.27</v>
      </c>
      <c r="F17" s="17">
        <f>VLOOKUP(D17,'A13 BY - Tabelle'!$A$6:$G$13,7)</f>
        <v>43463.76</v>
      </c>
      <c r="G17" s="18">
        <f t="shared" si="0"/>
        <v>40943.76</v>
      </c>
      <c r="H17" s="19"/>
      <c r="I17" s="90"/>
      <c r="J17" s="24"/>
      <c r="K17" s="17"/>
      <c r="L17" s="17"/>
      <c r="M17" s="20"/>
      <c r="N17" s="47"/>
      <c r="O17" s="56"/>
      <c r="P17" s="244"/>
      <c r="R17" s="204"/>
      <c r="S17" s="205">
        <f t="shared" si="1"/>
        <v>4947.939166666666</v>
      </c>
      <c r="T17" s="205">
        <f t="shared" si="4"/>
        <v>1566.41</v>
      </c>
      <c r="U17" s="205">
        <f t="shared" si="4"/>
        <v>0</v>
      </c>
      <c r="V17" s="207">
        <f t="shared" si="2"/>
        <v>6514.349166666666</v>
      </c>
    </row>
    <row r="18" spans="1:22" ht="11.25" customHeight="1">
      <c r="A18" s="8">
        <v>12</v>
      </c>
      <c r="B18" s="8">
        <f t="shared" si="3"/>
        <v>38</v>
      </c>
      <c r="C18" s="8"/>
      <c r="D18" s="346">
        <v>8</v>
      </c>
      <c r="E18" s="17">
        <f>VLOOKUP(D18,'A13 BY - Tabelle'!$A$6:$G$13,6)</f>
        <v>60905.03</v>
      </c>
      <c r="F18" s="17">
        <f>VLOOKUP(D18,'A13 BY - Tabelle'!$A$6:$G$13,7)</f>
        <v>44315.16</v>
      </c>
      <c r="G18" s="18">
        <f t="shared" si="0"/>
        <v>41795.16</v>
      </c>
      <c r="H18" s="19"/>
      <c r="I18" s="90"/>
      <c r="J18" s="24"/>
      <c r="K18" s="17"/>
      <c r="L18" s="17"/>
      <c r="M18" s="20"/>
      <c r="N18" s="47"/>
      <c r="O18" s="56"/>
      <c r="P18" s="244"/>
      <c r="R18" s="204"/>
      <c r="S18" s="205">
        <f t="shared" si="1"/>
        <v>5075.419166666667</v>
      </c>
      <c r="T18" s="205">
        <f t="shared" si="4"/>
        <v>1566.41</v>
      </c>
      <c r="U18" s="205">
        <f t="shared" si="4"/>
        <v>0</v>
      </c>
      <c r="V18" s="207">
        <f t="shared" si="2"/>
        <v>6641.829166666666</v>
      </c>
    </row>
    <row r="19" spans="1:22" ht="11.25" customHeight="1">
      <c r="A19" s="8">
        <v>13</v>
      </c>
      <c r="B19" s="8">
        <f t="shared" si="3"/>
        <v>39</v>
      </c>
      <c r="C19" s="8"/>
      <c r="D19" s="346">
        <v>8</v>
      </c>
      <c r="E19" s="17">
        <f>VLOOKUP(D19,'A13 BY - Tabelle'!$A$6:$G$13,6)</f>
        <v>60905.03</v>
      </c>
      <c r="F19" s="17">
        <f>VLOOKUP(D19,'A13 BY - Tabelle'!$A$6:$G$13,7)</f>
        <v>44315.16</v>
      </c>
      <c r="G19" s="18">
        <f t="shared" si="0"/>
        <v>41795.16</v>
      </c>
      <c r="H19" s="19"/>
      <c r="I19" s="90"/>
      <c r="J19" s="24"/>
      <c r="K19" s="17"/>
      <c r="L19" s="17"/>
      <c r="M19" s="20"/>
      <c r="N19" s="47"/>
      <c r="O19" s="56"/>
      <c r="P19" s="244"/>
      <c r="R19" s="204"/>
      <c r="S19" s="205">
        <f t="shared" si="1"/>
        <v>5075.419166666667</v>
      </c>
      <c r="T19" s="205">
        <f t="shared" si="4"/>
        <v>1566.41</v>
      </c>
      <c r="U19" s="205">
        <f t="shared" si="4"/>
        <v>0</v>
      </c>
      <c r="V19" s="207">
        <f t="shared" si="2"/>
        <v>6641.829166666666</v>
      </c>
    </row>
    <row r="20" spans="1:22" ht="11.25" customHeight="1">
      <c r="A20" s="8">
        <v>14</v>
      </c>
      <c r="B20" s="8">
        <f t="shared" si="3"/>
        <v>40</v>
      </c>
      <c r="C20" s="8"/>
      <c r="D20" s="346">
        <v>8</v>
      </c>
      <c r="E20" s="17">
        <f>VLOOKUP(D20,'A13 BY - Tabelle'!$A$6:$G$13,6)</f>
        <v>60905.03</v>
      </c>
      <c r="F20" s="17">
        <f>VLOOKUP(D20,'A13 BY - Tabelle'!$A$6:$G$13,7)</f>
        <v>44315.16</v>
      </c>
      <c r="G20" s="18">
        <f t="shared" si="0"/>
        <v>41795.16</v>
      </c>
      <c r="H20" s="19"/>
      <c r="I20" s="90"/>
      <c r="J20" s="24"/>
      <c r="K20" s="17"/>
      <c r="L20" s="17"/>
      <c r="M20" s="20"/>
      <c r="N20" s="47"/>
      <c r="O20" s="56"/>
      <c r="P20" s="244"/>
      <c r="R20" s="204"/>
      <c r="S20" s="205">
        <f t="shared" si="1"/>
        <v>5075.419166666667</v>
      </c>
      <c r="T20" s="205">
        <f t="shared" si="4"/>
        <v>1566.41</v>
      </c>
      <c r="U20" s="205">
        <f t="shared" si="4"/>
        <v>0</v>
      </c>
      <c r="V20" s="207">
        <f t="shared" si="2"/>
        <v>6641.829166666666</v>
      </c>
    </row>
    <row r="21" spans="1:22" ht="11.25" customHeight="1">
      <c r="A21" s="8">
        <v>15</v>
      </c>
      <c r="B21" s="8">
        <f t="shared" si="3"/>
        <v>41</v>
      </c>
      <c r="C21" s="8"/>
      <c r="D21" s="346">
        <v>8</v>
      </c>
      <c r="E21" s="17">
        <f>VLOOKUP(D21,'A13 BY - Tabelle'!$A$6:$G$13,6)</f>
        <v>60905.03</v>
      </c>
      <c r="F21" s="17">
        <f>VLOOKUP(D21,'A13 BY - Tabelle'!$A$6:$G$13,7)</f>
        <v>44315.16</v>
      </c>
      <c r="G21" s="18">
        <f t="shared" si="0"/>
        <v>41795.16</v>
      </c>
      <c r="H21" s="19"/>
      <c r="I21" s="90"/>
      <c r="J21" s="24"/>
      <c r="K21" s="17"/>
      <c r="L21" s="17"/>
      <c r="M21" s="20"/>
      <c r="N21" s="47"/>
      <c r="O21" s="56"/>
      <c r="P21" s="244"/>
      <c r="R21" s="204"/>
      <c r="S21" s="205">
        <f t="shared" si="1"/>
        <v>5075.419166666667</v>
      </c>
      <c r="T21" s="205">
        <f t="shared" si="4"/>
        <v>1566.41</v>
      </c>
      <c r="U21" s="205">
        <f t="shared" si="4"/>
        <v>0</v>
      </c>
      <c r="V21" s="207">
        <f t="shared" si="2"/>
        <v>6641.829166666666</v>
      </c>
    </row>
    <row r="22" spans="1:22" ht="11.25" customHeight="1">
      <c r="A22" s="8">
        <v>16</v>
      </c>
      <c r="B22" s="8">
        <f t="shared" si="3"/>
        <v>42</v>
      </c>
      <c r="C22" s="8"/>
      <c r="D22" s="346">
        <v>9</v>
      </c>
      <c r="E22" s="17">
        <f>VLOOKUP(D22,'A13 BY - Tabelle'!$A$6:$G$13,6)</f>
        <v>62435.17</v>
      </c>
      <c r="F22" s="17">
        <f>VLOOKUP(D22,'A13 BY - Tabelle'!$A$6:$G$13,7)</f>
        <v>45167.99</v>
      </c>
      <c r="G22" s="18">
        <f t="shared" si="0"/>
        <v>42647.99</v>
      </c>
      <c r="H22" s="19"/>
      <c r="I22" s="90"/>
      <c r="J22" s="24"/>
      <c r="K22" s="17"/>
      <c r="L22" s="17"/>
      <c r="M22" s="20"/>
      <c r="N22" s="47"/>
      <c r="O22" s="56"/>
      <c r="P22" s="244"/>
      <c r="R22" s="204"/>
      <c r="S22" s="205">
        <f t="shared" si="1"/>
        <v>5202.930833333333</v>
      </c>
      <c r="T22" s="205">
        <f t="shared" si="4"/>
        <v>1566.41</v>
      </c>
      <c r="U22" s="205">
        <f t="shared" si="4"/>
        <v>0</v>
      </c>
      <c r="V22" s="207">
        <f t="shared" si="2"/>
        <v>6769.340833333333</v>
      </c>
    </row>
    <row r="23" spans="1:22" ht="11.25" customHeight="1">
      <c r="A23" s="8">
        <v>17</v>
      </c>
      <c r="B23" s="8">
        <f t="shared" si="3"/>
        <v>43</v>
      </c>
      <c r="C23" s="8"/>
      <c r="D23" s="346">
        <v>9</v>
      </c>
      <c r="E23" s="17">
        <f>VLOOKUP(D23,'A13 BY - Tabelle'!$A$6:$G$13,6)</f>
        <v>62435.17</v>
      </c>
      <c r="F23" s="17">
        <f>VLOOKUP(D23,'A13 BY - Tabelle'!$A$6:$G$13,7)</f>
        <v>45167.99</v>
      </c>
      <c r="G23" s="18">
        <f t="shared" si="0"/>
        <v>42647.99</v>
      </c>
      <c r="H23" s="19"/>
      <c r="I23" s="90"/>
      <c r="J23" s="24"/>
      <c r="K23" s="17"/>
      <c r="L23" s="17"/>
      <c r="M23" s="20"/>
      <c r="N23" s="47"/>
      <c r="O23" s="56"/>
      <c r="P23" s="244"/>
      <c r="R23" s="204"/>
      <c r="S23" s="205">
        <f t="shared" si="1"/>
        <v>5202.930833333333</v>
      </c>
      <c r="T23" s="205">
        <f t="shared" si="4"/>
        <v>1566.41</v>
      </c>
      <c r="U23" s="205">
        <f t="shared" si="4"/>
        <v>0</v>
      </c>
      <c r="V23" s="207">
        <f t="shared" si="2"/>
        <v>6769.340833333333</v>
      </c>
    </row>
    <row r="24" spans="1:22" ht="11.25" customHeight="1">
      <c r="A24" s="8">
        <v>18</v>
      </c>
      <c r="B24" s="8">
        <f t="shared" si="3"/>
        <v>44</v>
      </c>
      <c r="C24" s="8"/>
      <c r="D24" s="346">
        <v>9</v>
      </c>
      <c r="E24" s="17">
        <f>VLOOKUP(D24,'A13 BY - Tabelle'!$A$6:$G$13,6)</f>
        <v>62435.17</v>
      </c>
      <c r="F24" s="17">
        <f>VLOOKUP(D24,'A13 BY - Tabelle'!$A$6:$G$13,7)</f>
        <v>45167.99</v>
      </c>
      <c r="G24" s="18">
        <f t="shared" si="0"/>
        <v>42647.99</v>
      </c>
      <c r="H24" s="19"/>
      <c r="I24" s="90"/>
      <c r="J24" s="24"/>
      <c r="K24" s="17"/>
      <c r="L24" s="17"/>
      <c r="M24" s="20"/>
      <c r="N24" s="47"/>
      <c r="O24" s="56"/>
      <c r="P24" s="244"/>
      <c r="R24" s="204"/>
      <c r="S24" s="205">
        <f t="shared" si="1"/>
        <v>5202.930833333333</v>
      </c>
      <c r="T24" s="205">
        <f t="shared" si="4"/>
        <v>1566.41</v>
      </c>
      <c r="U24" s="205">
        <f t="shared" si="4"/>
        <v>0</v>
      </c>
      <c r="V24" s="207">
        <f t="shared" si="2"/>
        <v>6769.340833333333</v>
      </c>
    </row>
    <row r="25" spans="1:22" ht="11.25" customHeight="1">
      <c r="A25" s="8">
        <v>19</v>
      </c>
      <c r="B25" s="8">
        <f t="shared" si="3"/>
        <v>45</v>
      </c>
      <c r="C25" s="8"/>
      <c r="D25" s="346">
        <v>9</v>
      </c>
      <c r="E25" s="17">
        <f>VLOOKUP(D25,'A13 BY - Tabelle'!$A$6:$G$13,6)</f>
        <v>62435.17</v>
      </c>
      <c r="F25" s="17">
        <f>VLOOKUP(D25,'A13 BY - Tabelle'!$A$6:$G$13,7)</f>
        <v>45167.99</v>
      </c>
      <c r="G25" s="18">
        <f t="shared" si="0"/>
        <v>42647.99</v>
      </c>
      <c r="H25" s="19"/>
      <c r="I25" s="90"/>
      <c r="J25" s="24"/>
      <c r="K25" s="17"/>
      <c r="L25" s="17"/>
      <c r="M25" s="20"/>
      <c r="N25" s="47"/>
      <c r="O25" s="56"/>
      <c r="P25" s="244"/>
      <c r="R25" s="204"/>
      <c r="S25" s="205">
        <f t="shared" si="1"/>
        <v>5202.930833333333</v>
      </c>
      <c r="T25" s="205">
        <f t="shared" si="4"/>
        <v>1566.41</v>
      </c>
      <c r="U25" s="205">
        <f t="shared" si="4"/>
        <v>0</v>
      </c>
      <c r="V25" s="207">
        <f t="shared" si="2"/>
        <v>6769.340833333333</v>
      </c>
    </row>
    <row r="26" spans="1:22" ht="11.25" customHeight="1">
      <c r="A26" s="8">
        <v>20</v>
      </c>
      <c r="B26" s="8">
        <f t="shared" si="3"/>
        <v>46</v>
      </c>
      <c r="C26" s="8"/>
      <c r="D26" s="346">
        <v>10</v>
      </c>
      <c r="E26" s="17">
        <f>VLOOKUP(D26,'A13 BY - Tabelle'!$A$6:$G$13,6)</f>
        <v>63964.81</v>
      </c>
      <c r="F26" s="17">
        <f>VLOOKUP(D26,'A13 BY - Tabelle'!$A$6:$G$13,7)</f>
        <v>46019.26</v>
      </c>
      <c r="G26" s="18">
        <f t="shared" si="0"/>
        <v>43499.26</v>
      </c>
      <c r="H26" s="19"/>
      <c r="I26" s="90"/>
      <c r="J26" s="24"/>
      <c r="K26" s="17"/>
      <c r="L26" s="17"/>
      <c r="M26" s="20"/>
      <c r="N26" s="47"/>
      <c r="O26" s="56"/>
      <c r="P26" s="244"/>
      <c r="R26" s="204"/>
      <c r="S26" s="205">
        <f t="shared" si="1"/>
        <v>5330.400833333333</v>
      </c>
      <c r="T26" s="205">
        <f t="shared" si="4"/>
        <v>1566.41</v>
      </c>
      <c r="U26" s="205">
        <f t="shared" si="4"/>
        <v>0</v>
      </c>
      <c r="V26" s="207">
        <f t="shared" si="2"/>
        <v>6896.810833333333</v>
      </c>
    </row>
    <row r="27" spans="1:22" ht="11.25" customHeight="1">
      <c r="A27" s="8">
        <v>21</v>
      </c>
      <c r="B27" s="8">
        <f t="shared" si="3"/>
        <v>47</v>
      </c>
      <c r="C27" s="8"/>
      <c r="D27" s="346">
        <v>10</v>
      </c>
      <c r="E27" s="17">
        <f>VLOOKUP(D27,'A13 BY - Tabelle'!$A$6:$G$13,6)</f>
        <v>63964.81</v>
      </c>
      <c r="F27" s="17">
        <f>VLOOKUP(D27,'A13 BY - Tabelle'!$A$6:$G$13,7)</f>
        <v>46019.26</v>
      </c>
      <c r="G27" s="18">
        <f t="shared" si="0"/>
        <v>43499.26</v>
      </c>
      <c r="H27" s="19"/>
      <c r="I27" s="90"/>
      <c r="J27" s="24"/>
      <c r="K27" s="17"/>
      <c r="L27" s="17"/>
      <c r="M27" s="20"/>
      <c r="N27" s="47"/>
      <c r="O27" s="56"/>
      <c r="P27" s="244"/>
      <c r="R27" s="204"/>
      <c r="S27" s="205">
        <f t="shared" si="1"/>
        <v>5330.400833333333</v>
      </c>
      <c r="T27" s="205">
        <f t="shared" si="4"/>
        <v>1566.41</v>
      </c>
      <c r="U27" s="205">
        <f t="shared" si="4"/>
        <v>0</v>
      </c>
      <c r="V27" s="207">
        <f t="shared" si="2"/>
        <v>6896.810833333333</v>
      </c>
    </row>
    <row r="28" spans="1:22" ht="11.25" customHeight="1">
      <c r="A28" s="8">
        <v>22</v>
      </c>
      <c r="B28" s="8">
        <f t="shared" si="3"/>
        <v>48</v>
      </c>
      <c r="C28" s="8"/>
      <c r="D28" s="346">
        <v>10</v>
      </c>
      <c r="E28" s="17">
        <f>VLOOKUP(D28,'A13 BY - Tabelle'!$A$6:$G$13,6)</f>
        <v>63964.81</v>
      </c>
      <c r="F28" s="17">
        <f>VLOOKUP(D28,'A13 BY - Tabelle'!$A$6:$G$13,7)</f>
        <v>46019.26</v>
      </c>
      <c r="G28" s="18">
        <f t="shared" si="0"/>
        <v>43499.26</v>
      </c>
      <c r="H28" s="19"/>
      <c r="I28" s="90"/>
      <c r="J28" s="24"/>
      <c r="K28" s="17"/>
      <c r="L28" s="17"/>
      <c r="M28" s="20"/>
      <c r="N28" s="47"/>
      <c r="O28" s="56"/>
      <c r="P28" s="244"/>
      <c r="R28" s="204"/>
      <c r="S28" s="205">
        <f t="shared" si="1"/>
        <v>5330.400833333333</v>
      </c>
      <c r="T28" s="205">
        <f t="shared" si="4"/>
        <v>1566.41</v>
      </c>
      <c r="U28" s="205">
        <f t="shared" si="4"/>
        <v>0</v>
      </c>
      <c r="V28" s="207">
        <f t="shared" si="2"/>
        <v>6896.810833333333</v>
      </c>
    </row>
    <row r="29" spans="1:22" ht="11.25" customHeight="1">
      <c r="A29" s="8">
        <v>23</v>
      </c>
      <c r="B29" s="8">
        <f t="shared" si="3"/>
        <v>49</v>
      </c>
      <c r="C29" s="8"/>
      <c r="D29" s="346">
        <v>10</v>
      </c>
      <c r="E29" s="17">
        <f>VLOOKUP(D29,'A13 BY - Tabelle'!$A$6:$G$13,6)</f>
        <v>63964.81</v>
      </c>
      <c r="F29" s="17">
        <f>VLOOKUP(D29,'A13 BY - Tabelle'!$A$6:$G$13,7)</f>
        <v>46019.26</v>
      </c>
      <c r="G29" s="18">
        <f t="shared" si="0"/>
        <v>43499.26</v>
      </c>
      <c r="H29" s="19"/>
      <c r="I29" s="90"/>
      <c r="J29" s="24"/>
      <c r="K29" s="17"/>
      <c r="L29" s="17"/>
      <c r="M29" s="20"/>
      <c r="N29" s="47"/>
      <c r="O29" s="56"/>
      <c r="P29" s="244"/>
      <c r="R29" s="204"/>
      <c r="S29" s="205">
        <f t="shared" si="1"/>
        <v>5330.400833333333</v>
      </c>
      <c r="T29" s="205">
        <f t="shared" si="4"/>
        <v>1566.41</v>
      </c>
      <c r="U29" s="205">
        <f t="shared" si="4"/>
        <v>0</v>
      </c>
      <c r="V29" s="207">
        <f t="shared" si="2"/>
        <v>6896.810833333333</v>
      </c>
    </row>
    <row r="30" spans="1:22" ht="11.25" customHeight="1">
      <c r="A30" s="8">
        <v>24</v>
      </c>
      <c r="B30" s="8">
        <f t="shared" si="3"/>
        <v>50</v>
      </c>
      <c r="C30" s="8"/>
      <c r="D30" s="346">
        <v>11</v>
      </c>
      <c r="E30" s="17">
        <f>VLOOKUP(D30,'A13 BY - Tabelle'!$A$6:$G$13,6)</f>
        <v>65494.83</v>
      </c>
      <c r="F30" s="17">
        <f>VLOOKUP(D30,'A13 BY - Tabelle'!$A$6:$G$13,7)</f>
        <v>46871.97</v>
      </c>
      <c r="G30" s="18">
        <f t="shared" si="0"/>
        <v>44351.97</v>
      </c>
      <c r="H30" s="19"/>
      <c r="I30" s="90"/>
      <c r="J30" s="24"/>
      <c r="K30" s="17"/>
      <c r="L30" s="17"/>
      <c r="M30" s="20"/>
      <c r="N30" s="47"/>
      <c r="O30" s="56"/>
      <c r="P30" s="244"/>
      <c r="R30" s="204"/>
      <c r="S30" s="205">
        <f t="shared" si="1"/>
        <v>5457.9025</v>
      </c>
      <c r="T30" s="205">
        <f t="shared" si="4"/>
        <v>1566.41</v>
      </c>
      <c r="U30" s="205">
        <f t="shared" si="4"/>
        <v>0</v>
      </c>
      <c r="V30" s="207">
        <f t="shared" si="2"/>
        <v>7024.3125</v>
      </c>
    </row>
    <row r="31" spans="1:22" ht="11.25" customHeight="1">
      <c r="A31" s="8">
        <v>25</v>
      </c>
      <c r="B31" s="8">
        <f t="shared" si="3"/>
        <v>51</v>
      </c>
      <c r="C31" s="8"/>
      <c r="D31" s="16">
        <v>11</v>
      </c>
      <c r="E31" s="17">
        <f>VLOOKUP(D31,'A13 BY - Tabelle'!$A$6:$G$13,6)</f>
        <v>65494.83</v>
      </c>
      <c r="F31" s="17">
        <f>VLOOKUP(D31,'A13 BY - Tabelle'!$A$6:$G$13,7)</f>
        <v>46871.97</v>
      </c>
      <c r="G31" s="18">
        <f t="shared" si="0"/>
        <v>44351.97</v>
      </c>
      <c r="H31" s="19"/>
      <c r="I31" s="90"/>
      <c r="J31" s="24"/>
      <c r="K31" s="17"/>
      <c r="L31" s="17"/>
      <c r="M31" s="20"/>
      <c r="N31" s="47"/>
      <c r="O31" s="56"/>
      <c r="P31" s="244"/>
      <c r="R31" s="204"/>
      <c r="S31" s="205">
        <f t="shared" si="1"/>
        <v>5457.9025</v>
      </c>
      <c r="T31" s="205">
        <f t="shared" si="4"/>
        <v>1566.41</v>
      </c>
      <c r="U31" s="205">
        <f t="shared" si="4"/>
        <v>0</v>
      </c>
      <c r="V31" s="207">
        <f t="shared" si="2"/>
        <v>7024.3125</v>
      </c>
    </row>
    <row r="32" spans="1:22" ht="11.25" customHeight="1">
      <c r="A32" s="8">
        <v>26</v>
      </c>
      <c r="B32" s="8">
        <f t="shared" si="3"/>
        <v>52</v>
      </c>
      <c r="C32" s="8"/>
      <c r="D32" s="16">
        <v>11</v>
      </c>
      <c r="E32" s="17">
        <f>VLOOKUP(D32,'A13 BY - Tabelle'!$A$6:$G$13,6)</f>
        <v>65494.83</v>
      </c>
      <c r="F32" s="17">
        <f>VLOOKUP(D32,'A13 BY - Tabelle'!$A$6:$G$13,7)</f>
        <v>46871.97</v>
      </c>
      <c r="G32" s="18">
        <f t="shared" si="0"/>
        <v>44351.97</v>
      </c>
      <c r="H32" s="19"/>
      <c r="I32" s="90"/>
      <c r="J32" s="24"/>
      <c r="K32" s="17"/>
      <c r="L32" s="17"/>
      <c r="M32" s="20"/>
      <c r="N32" s="47"/>
      <c r="O32" s="56"/>
      <c r="P32" s="244"/>
      <c r="R32" s="204"/>
      <c r="S32" s="205">
        <f t="shared" si="1"/>
        <v>5457.9025</v>
      </c>
      <c r="T32" s="205">
        <f t="shared" si="4"/>
        <v>1566.41</v>
      </c>
      <c r="U32" s="205">
        <f t="shared" si="4"/>
        <v>0</v>
      </c>
      <c r="V32" s="207">
        <f t="shared" si="2"/>
        <v>7024.3125</v>
      </c>
    </row>
    <row r="33" spans="1:22" ht="11.25" customHeight="1">
      <c r="A33" s="8">
        <v>27</v>
      </c>
      <c r="B33" s="8">
        <f t="shared" si="3"/>
        <v>53</v>
      </c>
      <c r="C33" s="8"/>
      <c r="D33" s="16">
        <v>11</v>
      </c>
      <c r="E33" s="17">
        <f>VLOOKUP(D33,'A13 BY - Tabelle'!$A$6:$G$13,6)</f>
        <v>65494.83</v>
      </c>
      <c r="F33" s="17">
        <f>VLOOKUP(D33,'A13 BY - Tabelle'!$A$6:$G$13,7)</f>
        <v>46871.97</v>
      </c>
      <c r="G33" s="18">
        <f t="shared" si="0"/>
        <v>44351.97</v>
      </c>
      <c r="H33" s="19"/>
      <c r="I33" s="90"/>
      <c r="J33" s="24"/>
      <c r="K33" s="17"/>
      <c r="L33" s="17"/>
      <c r="M33" s="20"/>
      <c r="N33" s="47"/>
      <c r="O33" s="56"/>
      <c r="P33" s="244"/>
      <c r="R33" s="204"/>
      <c r="S33" s="205">
        <f t="shared" si="1"/>
        <v>5457.9025</v>
      </c>
      <c r="T33" s="205">
        <f t="shared" si="4"/>
        <v>1566.41</v>
      </c>
      <c r="U33" s="205">
        <f t="shared" si="4"/>
        <v>0</v>
      </c>
      <c r="V33" s="207">
        <f t="shared" si="2"/>
        <v>7024.3125</v>
      </c>
    </row>
    <row r="34" spans="1:22" ht="11.25" customHeight="1">
      <c r="A34" s="8">
        <v>28</v>
      </c>
      <c r="B34" s="8">
        <f t="shared" si="3"/>
        <v>54</v>
      </c>
      <c r="C34" s="8"/>
      <c r="D34" s="16">
        <v>11</v>
      </c>
      <c r="E34" s="17">
        <f>VLOOKUP(D34,'A13 BY - Tabelle'!$A$6:$G$13,6)</f>
        <v>65494.83</v>
      </c>
      <c r="F34" s="17">
        <f>VLOOKUP(D34,'A13 BY - Tabelle'!$A$6:$G$13,7)</f>
        <v>46871.97</v>
      </c>
      <c r="G34" s="18">
        <f t="shared" si="0"/>
        <v>44351.97</v>
      </c>
      <c r="H34" s="19"/>
      <c r="I34" s="90"/>
      <c r="J34" s="24"/>
      <c r="K34" s="17"/>
      <c r="L34" s="17"/>
      <c r="M34" s="20"/>
      <c r="N34" s="47"/>
      <c r="O34" s="56"/>
      <c r="P34" s="244"/>
      <c r="R34" s="204"/>
      <c r="S34" s="205">
        <f t="shared" si="1"/>
        <v>5457.9025</v>
      </c>
      <c r="T34" s="205">
        <f t="shared" si="4"/>
        <v>1566.41</v>
      </c>
      <c r="U34" s="205">
        <f t="shared" si="4"/>
        <v>0</v>
      </c>
      <c r="V34" s="207">
        <f t="shared" si="2"/>
        <v>7024.3125</v>
      </c>
    </row>
    <row r="35" spans="1:22" ht="11.25" customHeight="1">
      <c r="A35" s="8">
        <v>29</v>
      </c>
      <c r="B35" s="8">
        <f t="shared" si="3"/>
        <v>55</v>
      </c>
      <c r="C35" s="8"/>
      <c r="D35" s="16">
        <v>11</v>
      </c>
      <c r="E35" s="17">
        <f>VLOOKUP(D35,'A13 BY - Tabelle'!$A$6:$G$13,6)</f>
        <v>65494.83</v>
      </c>
      <c r="F35" s="17">
        <f>VLOOKUP(D35,'A13 BY - Tabelle'!$A$6:$G$13,7)</f>
        <v>46871.97</v>
      </c>
      <c r="G35" s="18">
        <f t="shared" si="0"/>
        <v>44351.97</v>
      </c>
      <c r="H35" s="19"/>
      <c r="I35" s="90"/>
      <c r="J35" s="24"/>
      <c r="K35" s="17"/>
      <c r="L35" s="17"/>
      <c r="M35" s="20"/>
      <c r="N35" s="47"/>
      <c r="O35" s="56"/>
      <c r="P35" s="244"/>
      <c r="R35" s="204"/>
      <c r="S35" s="205">
        <f t="shared" si="1"/>
        <v>5457.9025</v>
      </c>
      <c r="T35" s="205">
        <f t="shared" si="4"/>
        <v>1566.41</v>
      </c>
      <c r="U35" s="205">
        <f t="shared" si="4"/>
        <v>0</v>
      </c>
      <c r="V35" s="207">
        <f t="shared" si="2"/>
        <v>7024.3125</v>
      </c>
    </row>
    <row r="36" spans="1:22" ht="11.25" customHeight="1">
      <c r="A36" s="8">
        <v>30</v>
      </c>
      <c r="B36" s="8">
        <f t="shared" si="3"/>
        <v>56</v>
      </c>
      <c r="C36" s="8"/>
      <c r="D36" s="16">
        <v>11</v>
      </c>
      <c r="E36" s="17">
        <f>VLOOKUP(D36,'A13 BY - Tabelle'!$A$6:$G$13,6)</f>
        <v>65494.83</v>
      </c>
      <c r="F36" s="17">
        <f>VLOOKUP(D36,'A13 BY - Tabelle'!$A$6:$G$13,7)</f>
        <v>46871.97</v>
      </c>
      <c r="G36" s="18">
        <f t="shared" si="0"/>
        <v>44351.97</v>
      </c>
      <c r="H36" s="19"/>
      <c r="I36" s="90"/>
      <c r="J36" s="24"/>
      <c r="K36" s="17"/>
      <c r="L36" s="17"/>
      <c r="M36" s="20"/>
      <c r="N36" s="47"/>
      <c r="O36" s="56"/>
      <c r="P36" s="244"/>
      <c r="R36" s="204"/>
      <c r="S36" s="205">
        <f t="shared" si="1"/>
        <v>5457.9025</v>
      </c>
      <c r="T36" s="205">
        <f t="shared" si="4"/>
        <v>1566.41</v>
      </c>
      <c r="U36" s="205">
        <f t="shared" si="4"/>
        <v>0</v>
      </c>
      <c r="V36" s="207">
        <f t="shared" si="2"/>
        <v>7024.3125</v>
      </c>
    </row>
    <row r="37" spans="1:22" ht="11.25" customHeight="1">
      <c r="A37" s="8">
        <v>31</v>
      </c>
      <c r="B37" s="8">
        <f t="shared" si="3"/>
        <v>57</v>
      </c>
      <c r="C37" s="8"/>
      <c r="D37" s="16">
        <v>11</v>
      </c>
      <c r="E37" s="17">
        <f>VLOOKUP(D37,'A13 BY - Tabelle'!$A$6:$G$13,6)</f>
        <v>65494.83</v>
      </c>
      <c r="F37" s="17">
        <f>VLOOKUP(D37,'A13 BY - Tabelle'!$A$6:$G$13,7)</f>
        <v>46871.97</v>
      </c>
      <c r="G37" s="18">
        <f t="shared" si="0"/>
        <v>44351.97</v>
      </c>
      <c r="H37" s="19"/>
      <c r="I37" s="90"/>
      <c r="J37" s="24"/>
      <c r="K37" s="17"/>
      <c r="L37" s="17"/>
      <c r="M37" s="20"/>
      <c r="N37" s="47"/>
      <c r="O37" s="56"/>
      <c r="P37" s="244"/>
      <c r="R37" s="204"/>
      <c r="S37" s="205">
        <f t="shared" si="1"/>
        <v>5457.9025</v>
      </c>
      <c r="T37" s="205">
        <f t="shared" si="4"/>
        <v>1566.41</v>
      </c>
      <c r="U37" s="205">
        <f t="shared" si="4"/>
        <v>0</v>
      </c>
      <c r="V37" s="207">
        <f t="shared" si="2"/>
        <v>7024.3125</v>
      </c>
    </row>
    <row r="38" spans="1:22" ht="11.25" customHeight="1">
      <c r="A38" s="8">
        <v>32</v>
      </c>
      <c r="B38" s="8">
        <f t="shared" si="3"/>
        <v>58</v>
      </c>
      <c r="C38" s="8"/>
      <c r="D38" s="16">
        <v>11</v>
      </c>
      <c r="E38" s="17">
        <f>VLOOKUP(D38,'A13 BY - Tabelle'!$A$6:$G$13,6)</f>
        <v>65494.83</v>
      </c>
      <c r="F38" s="17">
        <f>VLOOKUP(D38,'A13 BY - Tabelle'!$A$6:$G$13,7)</f>
        <v>46871.97</v>
      </c>
      <c r="G38" s="18">
        <f t="shared" si="0"/>
        <v>44351.97</v>
      </c>
      <c r="H38" s="19"/>
      <c r="I38" s="90"/>
      <c r="J38" s="24"/>
      <c r="K38" s="17"/>
      <c r="L38" s="17"/>
      <c r="M38" s="20"/>
      <c r="N38" s="47"/>
      <c r="O38" s="56"/>
      <c r="P38" s="244"/>
      <c r="R38" s="204"/>
      <c r="S38" s="205">
        <f t="shared" si="1"/>
        <v>5457.9025</v>
      </c>
      <c r="T38" s="205">
        <f t="shared" si="4"/>
        <v>1566.41</v>
      </c>
      <c r="U38" s="205">
        <f t="shared" si="4"/>
        <v>0</v>
      </c>
      <c r="V38" s="207">
        <f t="shared" si="2"/>
        <v>7024.3125</v>
      </c>
    </row>
    <row r="39" spans="1:22" ht="11.25" customHeight="1">
      <c r="A39" s="8">
        <v>33</v>
      </c>
      <c r="B39" s="8">
        <f t="shared" si="3"/>
        <v>59</v>
      </c>
      <c r="C39" s="8"/>
      <c r="D39" s="16">
        <v>11</v>
      </c>
      <c r="E39" s="17">
        <f>VLOOKUP(D39,'A13 BY - Tabelle'!$A$6:$G$13,6)</f>
        <v>65494.83</v>
      </c>
      <c r="F39" s="17">
        <f>VLOOKUP(D39,'A13 BY - Tabelle'!$A$6:$G$13,7)</f>
        <v>46871.97</v>
      </c>
      <c r="G39" s="18">
        <f t="shared" si="0"/>
        <v>44351.97</v>
      </c>
      <c r="H39" s="19"/>
      <c r="I39" s="90"/>
      <c r="J39" s="24"/>
      <c r="K39" s="17"/>
      <c r="L39" s="17"/>
      <c r="M39" s="20"/>
      <c r="N39" s="47"/>
      <c r="O39" s="56"/>
      <c r="P39" s="244"/>
      <c r="R39" s="204"/>
      <c r="S39" s="205">
        <f t="shared" si="1"/>
        <v>5457.9025</v>
      </c>
      <c r="T39" s="205">
        <f t="shared" si="4"/>
        <v>1566.41</v>
      </c>
      <c r="U39" s="205">
        <f t="shared" si="4"/>
        <v>0</v>
      </c>
      <c r="V39" s="207">
        <f t="shared" si="2"/>
        <v>7024.3125</v>
      </c>
    </row>
    <row r="40" spans="1:22" ht="11.25" customHeight="1">
      <c r="A40" s="8">
        <v>34</v>
      </c>
      <c r="B40" s="8">
        <f t="shared" si="3"/>
        <v>60</v>
      </c>
      <c r="C40" s="8"/>
      <c r="D40" s="16">
        <v>11</v>
      </c>
      <c r="E40" s="17">
        <f>VLOOKUP(D40,'A13 BY - Tabelle'!$A$6:$G$13,6)</f>
        <v>65494.83</v>
      </c>
      <c r="F40" s="17">
        <f>VLOOKUP(D40,'A13 BY - Tabelle'!$A$6:$G$13,7)</f>
        <v>46871.97</v>
      </c>
      <c r="G40" s="18">
        <f t="shared" si="0"/>
        <v>44351.97</v>
      </c>
      <c r="H40" s="19"/>
      <c r="I40" s="90"/>
      <c r="J40" s="24"/>
      <c r="K40" s="17"/>
      <c r="L40" s="17"/>
      <c r="M40" s="20"/>
      <c r="N40" s="47"/>
      <c r="O40" s="56"/>
      <c r="P40" s="244"/>
      <c r="R40" s="204"/>
      <c r="S40" s="205">
        <f t="shared" si="1"/>
        <v>5457.9025</v>
      </c>
      <c r="T40" s="205">
        <f t="shared" si="4"/>
        <v>1566.41</v>
      </c>
      <c r="U40" s="205">
        <f t="shared" si="4"/>
        <v>0</v>
      </c>
      <c r="V40" s="207">
        <f t="shared" si="2"/>
        <v>7024.3125</v>
      </c>
    </row>
    <row r="41" spans="1:22" ht="11.25" customHeight="1">
      <c r="A41" s="8">
        <v>35</v>
      </c>
      <c r="B41" s="8">
        <f t="shared" si="3"/>
        <v>61</v>
      </c>
      <c r="C41" s="8"/>
      <c r="D41" s="16">
        <v>11</v>
      </c>
      <c r="E41" s="17">
        <f>VLOOKUP(D41,'A13 BY - Tabelle'!$A$6:$G$13,6)</f>
        <v>65494.83</v>
      </c>
      <c r="F41" s="17">
        <f>VLOOKUP(D41,'A13 BY - Tabelle'!$A$6:$G$13,7)</f>
        <v>46871.97</v>
      </c>
      <c r="G41" s="18">
        <f t="shared" si="0"/>
        <v>44351.97</v>
      </c>
      <c r="H41" s="19"/>
      <c r="I41" s="90"/>
      <c r="J41" s="24"/>
      <c r="K41" s="17"/>
      <c r="L41" s="17"/>
      <c r="M41" s="20"/>
      <c r="N41" s="47"/>
      <c r="O41" s="56"/>
      <c r="P41" s="244"/>
      <c r="R41" s="204"/>
      <c r="S41" s="205">
        <f t="shared" si="1"/>
        <v>5457.9025</v>
      </c>
      <c r="T41" s="205">
        <f t="shared" si="4"/>
        <v>1566.41</v>
      </c>
      <c r="U41" s="205">
        <f t="shared" si="4"/>
        <v>0</v>
      </c>
      <c r="V41" s="207">
        <f t="shared" si="2"/>
        <v>7024.3125</v>
      </c>
    </row>
    <row r="42" spans="1:22" ht="11.25" customHeight="1">
      <c r="A42" s="8">
        <v>36</v>
      </c>
      <c r="B42" s="8">
        <f t="shared" si="3"/>
        <v>62</v>
      </c>
      <c r="C42" s="8"/>
      <c r="D42" s="16">
        <v>11</v>
      </c>
      <c r="E42" s="17">
        <f>VLOOKUP(D42,'A13 BY - Tabelle'!$A$6:$G$13,6)</f>
        <v>65494.83</v>
      </c>
      <c r="F42" s="17">
        <f>VLOOKUP(D42,'A13 BY - Tabelle'!$A$6:$G$13,7)</f>
        <v>46871.97</v>
      </c>
      <c r="G42" s="18">
        <f t="shared" si="0"/>
        <v>44351.97</v>
      </c>
      <c r="H42" s="19"/>
      <c r="I42" s="90"/>
      <c r="J42" s="24"/>
      <c r="K42" s="17"/>
      <c r="L42" s="17"/>
      <c r="M42" s="20"/>
      <c r="N42" s="47"/>
      <c r="O42" s="56"/>
      <c r="P42" s="244"/>
      <c r="R42" s="204"/>
      <c r="S42" s="205">
        <f t="shared" si="1"/>
        <v>5457.9025</v>
      </c>
      <c r="T42" s="205">
        <f t="shared" si="4"/>
        <v>1566.41</v>
      </c>
      <c r="U42" s="205">
        <f t="shared" si="4"/>
        <v>0</v>
      </c>
      <c r="V42" s="207">
        <f t="shared" si="2"/>
        <v>7024.3125</v>
      </c>
    </row>
    <row r="43" spans="1:22" ht="11.25" customHeight="1">
      <c r="A43" s="8">
        <v>37</v>
      </c>
      <c r="B43" s="8">
        <f t="shared" si="3"/>
        <v>63</v>
      </c>
      <c r="C43" s="8"/>
      <c r="D43" s="16">
        <v>11</v>
      </c>
      <c r="E43" s="17">
        <f>VLOOKUP(D43,'A13 BY - Tabelle'!$A$6:$G$13,6)</f>
        <v>65494.83</v>
      </c>
      <c r="F43" s="17">
        <f>VLOOKUP(D43,'A13 BY - Tabelle'!$A$6:$G$13,7)</f>
        <v>46871.97</v>
      </c>
      <c r="G43" s="18">
        <f t="shared" si="0"/>
        <v>44351.97</v>
      </c>
      <c r="H43" s="19"/>
      <c r="I43" s="90"/>
      <c r="J43" s="24"/>
      <c r="K43" s="17"/>
      <c r="L43" s="17"/>
      <c r="M43" s="20"/>
      <c r="N43" s="47"/>
      <c r="O43" s="56"/>
      <c r="P43" s="244"/>
      <c r="R43" s="204"/>
      <c r="S43" s="205">
        <f t="shared" si="1"/>
        <v>5457.9025</v>
      </c>
      <c r="T43" s="205">
        <f t="shared" si="4"/>
        <v>1566.41</v>
      </c>
      <c r="U43" s="205">
        <f t="shared" si="4"/>
        <v>0</v>
      </c>
      <c r="V43" s="207">
        <f t="shared" si="2"/>
        <v>7024.3125</v>
      </c>
    </row>
    <row r="44" spans="1:22" ht="11.25" customHeight="1">
      <c r="A44" s="8">
        <v>38</v>
      </c>
      <c r="B44" s="8">
        <f t="shared" si="3"/>
        <v>64</v>
      </c>
      <c r="C44" s="8"/>
      <c r="D44" s="16">
        <v>11</v>
      </c>
      <c r="E44" s="17">
        <f>VLOOKUP(D44,'A13 BY - Tabelle'!$A$6:$G$13,6)</f>
        <v>65494.83</v>
      </c>
      <c r="F44" s="17">
        <f>VLOOKUP(D44,'A13 BY - Tabelle'!$A$6:$G$13,7)</f>
        <v>46871.97</v>
      </c>
      <c r="G44" s="18">
        <f t="shared" si="0"/>
        <v>44351.97</v>
      </c>
      <c r="H44" s="19"/>
      <c r="I44" s="90"/>
      <c r="J44" s="24"/>
      <c r="K44" s="17"/>
      <c r="L44" s="17"/>
      <c r="M44" s="20"/>
      <c r="N44" s="47"/>
      <c r="O44" s="56"/>
      <c r="P44" s="244"/>
      <c r="R44" s="204"/>
      <c r="S44" s="205">
        <f t="shared" si="1"/>
        <v>5457.9025</v>
      </c>
      <c r="T44" s="205">
        <f t="shared" si="4"/>
        <v>1566.41</v>
      </c>
      <c r="U44" s="205">
        <f t="shared" si="4"/>
        <v>0</v>
      </c>
      <c r="V44" s="207">
        <f t="shared" si="2"/>
        <v>7024.3125</v>
      </c>
    </row>
    <row r="45" spans="1:22" ht="11.25" customHeight="1">
      <c r="A45" s="8">
        <v>39</v>
      </c>
      <c r="B45" s="8">
        <f t="shared" si="3"/>
        <v>65</v>
      </c>
      <c r="C45" s="8"/>
      <c r="D45" s="16">
        <v>11</v>
      </c>
      <c r="E45" s="17">
        <f>VLOOKUP(D45,'A13 BY - Tabelle'!$A$6:$G$13,6)</f>
        <v>65494.83</v>
      </c>
      <c r="F45" s="17">
        <f>VLOOKUP(D45,'A13 BY - Tabelle'!$A$6:$G$13,7)</f>
        <v>46871.97</v>
      </c>
      <c r="G45" s="18">
        <f t="shared" si="0"/>
        <v>44351.97</v>
      </c>
      <c r="H45" s="19"/>
      <c r="I45" s="90"/>
      <c r="J45" s="24"/>
      <c r="K45" s="17"/>
      <c r="L45" s="17"/>
      <c r="M45" s="20"/>
      <c r="N45" s="47"/>
      <c r="O45" s="56"/>
      <c r="P45" s="244"/>
      <c r="R45" s="204"/>
      <c r="S45" s="205">
        <f t="shared" si="1"/>
        <v>5457.9025</v>
      </c>
      <c r="T45" s="205">
        <f t="shared" si="4"/>
        <v>1566.41</v>
      </c>
      <c r="U45" s="205">
        <f t="shared" si="4"/>
        <v>0</v>
      </c>
      <c r="V45" s="207">
        <f t="shared" si="2"/>
        <v>7024.3125</v>
      </c>
    </row>
    <row r="46" spans="1:22" ht="11.25" customHeight="1">
      <c r="A46" s="8">
        <v>40</v>
      </c>
      <c r="B46" s="8">
        <f t="shared" si="3"/>
        <v>66</v>
      </c>
      <c r="C46" s="8"/>
      <c r="D46" s="16">
        <v>11</v>
      </c>
      <c r="E46" s="17">
        <f>VLOOKUP(D46,'A13 BY - Tabelle'!$A$6:$G$13,6)</f>
        <v>65494.83</v>
      </c>
      <c r="F46" s="17">
        <f>VLOOKUP(D46,'A13 BY - Tabelle'!$A$6:$G$13,7)</f>
        <v>46871.97</v>
      </c>
      <c r="G46" s="18">
        <f t="shared" si="0"/>
        <v>44351.97</v>
      </c>
      <c r="H46" s="19"/>
      <c r="I46" s="90"/>
      <c r="J46" s="24"/>
      <c r="K46" s="17"/>
      <c r="L46" s="17"/>
      <c r="M46" s="20"/>
      <c r="N46" s="47"/>
      <c r="O46" s="56"/>
      <c r="P46" s="244"/>
      <c r="R46" s="209"/>
      <c r="S46" s="205">
        <f t="shared" si="1"/>
        <v>5457.9025</v>
      </c>
      <c r="T46" s="205">
        <f t="shared" si="4"/>
        <v>1566.41</v>
      </c>
      <c r="U46" s="205">
        <f t="shared" si="4"/>
        <v>0</v>
      </c>
      <c r="V46" s="207">
        <f t="shared" si="2"/>
        <v>7024.3125</v>
      </c>
    </row>
    <row r="47" spans="1:22" s="104" customFormat="1" ht="13.5" thickBot="1">
      <c r="A47" s="5"/>
      <c r="B47" s="5"/>
      <c r="C47" s="5"/>
      <c r="D47" s="105" t="s">
        <v>7</v>
      </c>
      <c r="E47" s="106">
        <f>AVERAGE(E7:E46)</f>
        <v>62186.494750000034</v>
      </c>
      <c r="F47" s="106">
        <f>AVERAGE(F7:F46)</f>
        <v>45025.865999999995</v>
      </c>
      <c r="G47" s="99">
        <f>AVERAGE(G7:G46)</f>
        <v>42505.865999999995</v>
      </c>
      <c r="H47" s="100"/>
      <c r="I47" s="101"/>
      <c r="J47" s="101"/>
      <c r="K47" s="100"/>
      <c r="L47" s="100"/>
      <c r="M47" s="102"/>
      <c r="N47" s="103"/>
      <c r="O47" s="102"/>
      <c r="P47" s="268"/>
      <c r="R47" s="210" t="s">
        <v>7</v>
      </c>
      <c r="S47" s="211">
        <f>AVERAGE(S7:S46)</f>
        <v>5182.207895833331</v>
      </c>
      <c r="T47" s="211">
        <f>AVERAGE(T7:T46)</f>
        <v>1566.4100000000017</v>
      </c>
      <c r="U47" s="234">
        <f>AVERAGE(U7:U46)</f>
        <v>0</v>
      </c>
      <c r="V47" s="214">
        <f>AVERAGE(V7:V46)</f>
        <v>6748.617895833333</v>
      </c>
    </row>
    <row r="48" spans="4:22" s="165" customFormat="1" ht="13.5" thickTop="1">
      <c r="D48" s="162" t="s">
        <v>47</v>
      </c>
      <c r="E48" s="163">
        <f>E47/12</f>
        <v>5182.207895833336</v>
      </c>
      <c r="F48" s="163">
        <f>F47/12</f>
        <v>3752.1554999999994</v>
      </c>
      <c r="G48" s="163">
        <f>G47/12</f>
        <v>3542.1554999999994</v>
      </c>
      <c r="H48" s="163"/>
      <c r="I48" s="164"/>
      <c r="J48" s="163"/>
      <c r="K48" s="163"/>
      <c r="L48" s="163"/>
      <c r="M48" s="166"/>
      <c r="N48" s="31"/>
      <c r="O48" s="31"/>
      <c r="P48" s="268"/>
      <c r="R48" s="161"/>
      <c r="S48" s="161"/>
      <c r="T48" s="161"/>
      <c r="V48" s="161"/>
    </row>
    <row r="49" spans="1:22" ht="12.75">
      <c r="A49" s="245"/>
      <c r="B49" s="245"/>
      <c r="C49" s="245"/>
      <c r="D49" s="244"/>
      <c r="E49" s="269"/>
      <c r="F49" s="270"/>
      <c r="G49" s="271"/>
      <c r="H49" s="272"/>
      <c r="I49" s="273"/>
      <c r="J49" s="273"/>
      <c r="K49" s="274"/>
      <c r="L49" s="275"/>
      <c r="M49" s="276"/>
      <c r="N49" s="276"/>
      <c r="O49" s="277"/>
      <c r="P49" s="244"/>
      <c r="R49" s="217" t="s">
        <v>58</v>
      </c>
      <c r="S49" s="215"/>
      <c r="T49" s="215"/>
      <c r="V49" s="215"/>
    </row>
    <row r="50" ht="12.75">
      <c r="R50" s="8" t="s">
        <v>66</v>
      </c>
    </row>
  </sheetData>
  <sheetProtection/>
  <mergeCells count="1">
    <mergeCell ref="D5:G5"/>
  </mergeCells>
  <printOptions/>
  <pageMargins left="0.24" right="0.18" top="0.19" bottom="0.2" header="0.19" footer="0.17"/>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K30"/>
  <sheetViews>
    <sheetView zoomScalePageLayoutView="0" workbookViewId="0" topLeftCell="A1">
      <selection activeCell="I3" sqref="I3:J13"/>
    </sheetView>
  </sheetViews>
  <sheetFormatPr defaultColWidth="11.421875" defaultRowHeight="12.75"/>
  <cols>
    <col min="1" max="1" width="15.140625" style="0" customWidth="1"/>
    <col min="2" max="2" width="13.28125" style="142" customWidth="1"/>
    <col min="3" max="3" width="12.7109375" style="123" customWidth="1"/>
    <col min="4" max="4" width="15.57421875" style="123" customWidth="1"/>
    <col min="5" max="5" width="12.7109375" style="1" customWidth="1"/>
    <col min="6" max="6" width="12.7109375" style="4" customWidth="1"/>
    <col min="7" max="7" width="12.7109375" style="6" customWidth="1"/>
    <col min="8" max="8" width="16.28125" style="2" customWidth="1"/>
    <col min="9" max="9" width="12.421875" style="2" customWidth="1"/>
    <col min="13" max="13" width="11.57421875" style="0" customWidth="1"/>
    <col min="15" max="15" width="11.57421875" style="0" customWidth="1"/>
  </cols>
  <sheetData>
    <row r="1" spans="1:11" ht="12.75">
      <c r="A1" s="2" t="s">
        <v>146</v>
      </c>
      <c r="H1" s="145" t="s">
        <v>9</v>
      </c>
      <c r="I1" s="33">
        <v>210</v>
      </c>
      <c r="K1" s="244"/>
    </row>
    <row r="2" spans="1:11" ht="12.75">
      <c r="A2" s="2"/>
      <c r="K2" s="244"/>
    </row>
    <row r="3" spans="1:11" ht="12.75">
      <c r="A3" s="2"/>
      <c r="B3" s="140" t="s">
        <v>35</v>
      </c>
      <c r="C3" s="124" t="s">
        <v>35</v>
      </c>
      <c r="D3" s="125" t="s">
        <v>45</v>
      </c>
      <c r="E3" s="131" t="s">
        <v>41</v>
      </c>
      <c r="F3" s="134" t="s">
        <v>38</v>
      </c>
      <c r="G3" s="136" t="s">
        <v>38</v>
      </c>
      <c r="H3" s="128" t="s">
        <v>42</v>
      </c>
      <c r="I3" s="138"/>
      <c r="J3" s="138"/>
      <c r="K3" s="244"/>
    </row>
    <row r="4" spans="1:11" ht="12.75">
      <c r="A4" s="121" t="s">
        <v>32</v>
      </c>
      <c r="B4" s="131" t="s">
        <v>39</v>
      </c>
      <c r="C4" s="125" t="s">
        <v>39</v>
      </c>
      <c r="D4" s="125" t="s">
        <v>43</v>
      </c>
      <c r="E4" s="131" t="s">
        <v>40</v>
      </c>
      <c r="F4" s="134" t="s">
        <v>31</v>
      </c>
      <c r="G4" s="136" t="s">
        <v>31</v>
      </c>
      <c r="H4" s="128" t="s">
        <v>43</v>
      </c>
      <c r="I4" s="138"/>
      <c r="J4" s="138"/>
      <c r="K4" s="244"/>
    </row>
    <row r="5" spans="1:11" ht="12.75">
      <c r="A5" s="121" t="s">
        <v>33</v>
      </c>
      <c r="B5" s="342" t="s">
        <v>115</v>
      </c>
      <c r="C5" s="136" t="s">
        <v>36</v>
      </c>
      <c r="D5" s="125" t="s">
        <v>46</v>
      </c>
      <c r="E5" s="343" t="s">
        <v>115</v>
      </c>
      <c r="F5" s="134" t="s">
        <v>115</v>
      </c>
      <c r="G5" s="136" t="s">
        <v>36</v>
      </c>
      <c r="H5" s="128" t="s">
        <v>46</v>
      </c>
      <c r="I5" s="138"/>
      <c r="J5" s="138"/>
      <c r="K5" s="244"/>
    </row>
    <row r="6" spans="1:11" ht="12.75">
      <c r="A6" s="121">
        <v>4</v>
      </c>
      <c r="B6" s="144"/>
      <c r="C6" s="384"/>
      <c r="D6" s="126"/>
      <c r="E6" s="144"/>
      <c r="F6" s="383">
        <v>53256.09</v>
      </c>
      <c r="G6" s="318">
        <v>40006.35</v>
      </c>
      <c r="H6" s="148">
        <f aca="true" t="shared" si="0" ref="H6:H12">G6-I$1*12</f>
        <v>37486.35</v>
      </c>
      <c r="I6" s="143"/>
      <c r="J6" s="143"/>
      <c r="K6" s="244"/>
    </row>
    <row r="7" spans="1:11" ht="12.75">
      <c r="A7" s="121">
        <v>5</v>
      </c>
      <c r="B7" s="144"/>
      <c r="C7" s="385"/>
      <c r="D7" s="126"/>
      <c r="E7" s="144"/>
      <c r="F7" s="383">
        <v>55551.05</v>
      </c>
      <c r="G7" s="318">
        <v>41321.21</v>
      </c>
      <c r="H7" s="148">
        <f t="shared" si="0"/>
        <v>38801.21</v>
      </c>
      <c r="I7" s="143"/>
      <c r="J7" s="143"/>
      <c r="K7" s="244"/>
    </row>
    <row r="8" spans="1:11" ht="12.75">
      <c r="A8" s="121">
        <v>6</v>
      </c>
      <c r="B8" s="144"/>
      <c r="C8" s="384"/>
      <c r="D8" s="126"/>
      <c r="E8" s="144"/>
      <c r="F8" s="383">
        <v>57845.5</v>
      </c>
      <c r="G8" s="318">
        <v>42611.3</v>
      </c>
      <c r="H8" s="148">
        <f t="shared" si="0"/>
        <v>40091.3</v>
      </c>
      <c r="I8" s="143"/>
      <c r="J8" s="143"/>
      <c r="K8" s="244"/>
    </row>
    <row r="9" spans="1:11" ht="12.75">
      <c r="A9" s="121">
        <v>7</v>
      </c>
      <c r="B9" s="144"/>
      <c r="C9" s="385"/>
      <c r="D9" s="126"/>
      <c r="E9" s="144"/>
      <c r="F9" s="383">
        <v>59375.27</v>
      </c>
      <c r="G9" s="318">
        <v>43463.76</v>
      </c>
      <c r="H9" s="148">
        <f t="shared" si="0"/>
        <v>40943.76</v>
      </c>
      <c r="I9" s="143"/>
      <c r="J9" s="143"/>
      <c r="K9" s="244"/>
    </row>
    <row r="10" spans="1:11" ht="12.75">
      <c r="A10" s="121">
        <v>8</v>
      </c>
      <c r="B10" s="144"/>
      <c r="C10" s="384"/>
      <c r="D10" s="126"/>
      <c r="E10" s="144"/>
      <c r="F10" s="383">
        <v>60905.03</v>
      </c>
      <c r="G10" s="318">
        <v>44315.16</v>
      </c>
      <c r="H10" s="148">
        <f t="shared" si="0"/>
        <v>41795.16</v>
      </c>
      <c r="I10" s="143"/>
      <c r="J10" s="143"/>
      <c r="K10" s="244"/>
    </row>
    <row r="11" spans="1:11" ht="12.75">
      <c r="A11" s="121">
        <v>9</v>
      </c>
      <c r="B11" s="144"/>
      <c r="C11" s="384"/>
      <c r="D11" s="126"/>
      <c r="E11" s="144"/>
      <c r="F11" s="383">
        <v>62435.17</v>
      </c>
      <c r="G11" s="318">
        <v>45167.99</v>
      </c>
      <c r="H11" s="148">
        <f t="shared" si="0"/>
        <v>42647.99</v>
      </c>
      <c r="I11" s="143"/>
      <c r="J11" s="143"/>
      <c r="K11" s="244"/>
    </row>
    <row r="12" spans="1:11" ht="12.75">
      <c r="A12" s="121">
        <v>10</v>
      </c>
      <c r="B12" s="144"/>
      <c r="C12" s="384"/>
      <c r="D12" s="126"/>
      <c r="E12" s="144"/>
      <c r="F12" s="383">
        <v>63964.81</v>
      </c>
      <c r="G12" s="318">
        <v>46019.26</v>
      </c>
      <c r="H12" s="148">
        <f t="shared" si="0"/>
        <v>43499.26</v>
      </c>
      <c r="I12" s="143"/>
      <c r="J12" s="143"/>
      <c r="K12" s="244"/>
    </row>
    <row r="13" spans="1:11" ht="12.75">
      <c r="A13" s="121">
        <v>11</v>
      </c>
      <c r="B13" s="317">
        <v>5177.46</v>
      </c>
      <c r="C13" s="384"/>
      <c r="D13" s="126"/>
      <c r="E13" s="144"/>
      <c r="F13" s="383">
        <v>65494.83</v>
      </c>
      <c r="G13" s="318">
        <v>46871.97</v>
      </c>
      <c r="H13" s="148">
        <f>G13-I$1*12</f>
        <v>44351.97</v>
      </c>
      <c r="I13" s="143"/>
      <c r="J13" s="143"/>
      <c r="K13" s="244"/>
    </row>
    <row r="14" spans="1:11" ht="12.75">
      <c r="A14" s="118" t="s">
        <v>80</v>
      </c>
      <c r="B14" s="144">
        <f>B13*0.7175</f>
        <v>3714.82755</v>
      </c>
      <c r="C14" s="385"/>
      <c r="D14" s="149"/>
      <c r="E14" s="144"/>
      <c r="F14" s="146">
        <f>B14*12+E14</f>
        <v>44577.9306</v>
      </c>
      <c r="G14" s="147"/>
      <c r="H14" s="148"/>
      <c r="I14" s="148"/>
      <c r="J14" s="5"/>
      <c r="K14" s="244"/>
    </row>
    <row r="15" spans="2:11" ht="12.75">
      <c r="B15" s="283" t="s">
        <v>84</v>
      </c>
      <c r="C15" s="282" t="s">
        <v>85</v>
      </c>
      <c r="D15" s="149"/>
      <c r="K15" s="244"/>
    </row>
    <row r="16" spans="2:11" ht="12.75">
      <c r="B16" s="144"/>
      <c r="C16" s="149"/>
      <c r="D16" s="149"/>
      <c r="E16" s="5"/>
      <c r="K16" s="244"/>
    </row>
    <row r="17" spans="2:11" ht="12.75">
      <c r="B17" s="316"/>
      <c r="K17" s="244"/>
    </row>
    <row r="18" spans="7:11" ht="12.75">
      <c r="G18" s="243" t="s">
        <v>82</v>
      </c>
      <c r="H18" s="42">
        <f>'E13 - Modell'!K47</f>
        <v>35193.825999999994</v>
      </c>
      <c r="I18" s="42"/>
      <c r="K18" s="244"/>
    </row>
    <row r="19" spans="7:11" ht="12.75">
      <c r="G19" s="243" t="s">
        <v>81</v>
      </c>
      <c r="H19" s="42">
        <f>'E13 - Tabelle'!L11</f>
        <v>35970.94</v>
      </c>
      <c r="I19" s="42"/>
      <c r="K19" s="244"/>
    </row>
    <row r="20" ht="12.75">
      <c r="K20" s="244"/>
    </row>
    <row r="21" spans="1:11" ht="12.75">
      <c r="A21" s="22" t="s">
        <v>83</v>
      </c>
      <c r="B21" s="313" t="s">
        <v>110</v>
      </c>
      <c r="K21" s="244"/>
    </row>
    <row r="22" ht="12.75">
      <c r="K22" s="244"/>
    </row>
    <row r="23" spans="1:11" ht="12.75">
      <c r="A23" s="244"/>
      <c r="B23" s="278"/>
      <c r="C23" s="279"/>
      <c r="D23" s="279"/>
      <c r="E23" s="280"/>
      <c r="F23" s="271"/>
      <c r="G23" s="270"/>
      <c r="H23" s="281"/>
      <c r="I23" s="281"/>
      <c r="J23" s="244"/>
      <c r="K23" s="244"/>
    </row>
    <row r="27" spans="1:10" ht="12.75">
      <c r="A27" s="321" t="s">
        <v>16</v>
      </c>
      <c r="B27" s="308" t="s">
        <v>2</v>
      </c>
      <c r="C27" s="305">
        <v>1</v>
      </c>
      <c r="D27" s="305">
        <v>2</v>
      </c>
      <c r="E27" s="306">
        <v>3</v>
      </c>
      <c r="F27" s="306">
        <v>4</v>
      </c>
      <c r="G27" s="306">
        <v>5</v>
      </c>
      <c r="H27" s="305">
        <v>6</v>
      </c>
      <c r="I27" s="305">
        <v>7</v>
      </c>
      <c r="J27" s="305">
        <v>8</v>
      </c>
    </row>
    <row r="28" spans="1:10" ht="12.75">
      <c r="A28" s="304" t="s">
        <v>113</v>
      </c>
      <c r="B28" s="304"/>
      <c r="C28" s="319">
        <v>3849.02</v>
      </c>
      <c r="D28" s="319">
        <v>4042.47</v>
      </c>
      <c r="E28" s="320">
        <v>4235.9</v>
      </c>
      <c r="F28" s="320">
        <v>4430.52</v>
      </c>
      <c r="G28" s="320">
        <v>4613.14</v>
      </c>
      <c r="H28" s="319">
        <v>4699.65</v>
      </c>
      <c r="I28" s="319">
        <v>4882.26</v>
      </c>
      <c r="J28" s="319">
        <v>4978.36</v>
      </c>
    </row>
    <row r="29" spans="1:10" ht="12.75">
      <c r="A29" s="304" t="s">
        <v>112</v>
      </c>
      <c r="B29" s="304"/>
      <c r="C29" s="319">
        <v>2974.17</v>
      </c>
      <c r="D29" s="319">
        <v>3090.7</v>
      </c>
      <c r="E29" s="320">
        <v>3205.09</v>
      </c>
      <c r="F29" s="320">
        <v>3318.12</v>
      </c>
      <c r="G29" s="320">
        <v>3422.14</v>
      </c>
      <c r="H29" s="319">
        <v>3470.76</v>
      </c>
      <c r="I29" s="319">
        <v>3572.58</v>
      </c>
      <c r="J29" s="319">
        <v>3626.03</v>
      </c>
    </row>
    <row r="30" spans="2:10" ht="12.75">
      <c r="B30" s="117"/>
      <c r="C30" s="117"/>
      <c r="D30" s="117"/>
      <c r="E30" s="6"/>
      <c r="F30" s="6"/>
      <c r="H30" s="117"/>
      <c r="I30" s="117"/>
      <c r="J30" s="117"/>
    </row>
  </sheetData>
  <sheetProtection/>
  <hyperlinks>
    <hyperlink ref="C15" r:id="rId1" display="http://www.brutto-netto-rechner.info"/>
  </hyperlinks>
  <printOptions/>
  <pageMargins left="0.25" right="0.25" top="0.75" bottom="0.75" header="0.3" footer="0.3"/>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dimension ref="A1:N33"/>
  <sheetViews>
    <sheetView zoomScalePageLayoutView="0" workbookViewId="0" topLeftCell="A1">
      <selection activeCell="A18" sqref="A18:K18"/>
    </sheetView>
  </sheetViews>
  <sheetFormatPr defaultColWidth="11.421875" defaultRowHeight="12.75"/>
  <cols>
    <col min="1" max="1" width="18.00390625" style="0" customWidth="1"/>
    <col min="2" max="2" width="7.140625" style="0" customWidth="1"/>
    <col min="3" max="3" width="8.28125" style="0" customWidth="1"/>
    <col min="4" max="4" width="8.7109375" style="0" customWidth="1"/>
    <col min="5" max="5" width="4.28125" style="0" customWidth="1"/>
    <col min="6" max="6" width="3.7109375" style="0" customWidth="1"/>
    <col min="7" max="7" width="8.28125" style="0" customWidth="1"/>
    <col min="8" max="8" width="8.7109375" style="0" customWidth="1"/>
    <col min="9" max="9" width="4.28125" style="0" customWidth="1"/>
    <col min="10" max="10" width="3.7109375" style="0" customWidth="1"/>
    <col min="11" max="11" width="12.00390625" style="0" customWidth="1"/>
    <col min="12" max="12" width="9.140625" style="0" customWidth="1"/>
    <col min="13" max="13" width="4.28125" style="5" customWidth="1"/>
    <col min="14" max="14" width="3.7109375" style="0" customWidth="1"/>
    <col min="15" max="15" width="3.421875" style="0" customWidth="1"/>
    <col min="16" max="16" width="64.00390625" style="0" customWidth="1"/>
  </cols>
  <sheetData>
    <row r="1" spans="5:10" ht="27.75" customHeight="1">
      <c r="E1" s="36"/>
      <c r="F1" s="36"/>
      <c r="G1" s="36"/>
      <c r="H1" s="36"/>
      <c r="I1" s="36"/>
      <c r="J1" s="36"/>
    </row>
    <row r="2" spans="5:10" ht="24.75" customHeight="1">
      <c r="E2" s="36"/>
      <c r="F2" s="36"/>
      <c r="G2" s="36"/>
      <c r="H2" s="36"/>
      <c r="I2" s="36"/>
      <c r="J2" s="36"/>
    </row>
    <row r="3" spans="5:10" ht="34.5" customHeight="1">
      <c r="E3" s="36"/>
      <c r="F3" s="36"/>
      <c r="G3" s="36"/>
      <c r="H3" s="36"/>
      <c r="I3" s="36"/>
      <c r="J3" s="36"/>
    </row>
    <row r="4" spans="5:10" ht="27" customHeight="1">
      <c r="E4" s="36"/>
      <c r="F4" s="36"/>
      <c r="G4" s="36"/>
      <c r="H4" s="36"/>
      <c r="I4" s="36"/>
      <c r="J4" s="36"/>
    </row>
    <row r="5" spans="5:10" ht="37.5" customHeight="1">
      <c r="E5" s="36"/>
      <c r="F5" s="36"/>
      <c r="G5" s="36"/>
      <c r="H5" s="36"/>
      <c r="I5" s="36"/>
      <c r="J5" s="36"/>
    </row>
    <row r="6" spans="5:10" ht="27" customHeight="1">
      <c r="E6" s="36"/>
      <c r="F6" s="36"/>
      <c r="G6" s="36"/>
      <c r="H6" s="36"/>
      <c r="I6" s="36"/>
      <c r="J6" s="36"/>
    </row>
    <row r="7" spans="5:10" ht="24" customHeight="1">
      <c r="E7" s="36"/>
      <c r="F7" s="36"/>
      <c r="G7" s="36"/>
      <c r="H7" s="36"/>
      <c r="I7" s="36"/>
      <c r="J7" s="36"/>
    </row>
    <row r="8" spans="5:10" ht="27" customHeight="1">
      <c r="E8" s="36"/>
      <c r="F8" s="36"/>
      <c r="G8" s="36"/>
      <c r="H8" s="36"/>
      <c r="I8" s="36"/>
      <c r="J8" s="36"/>
    </row>
    <row r="9" spans="5:10" ht="22.5" customHeight="1">
      <c r="E9" s="36"/>
      <c r="F9" s="36"/>
      <c r="G9" s="36"/>
      <c r="H9" s="36"/>
      <c r="I9" s="36"/>
      <c r="J9" s="36"/>
    </row>
    <row r="10" spans="5:10" ht="38.25" customHeight="1">
      <c r="E10" s="36"/>
      <c r="F10" s="36"/>
      <c r="G10" s="36"/>
      <c r="H10" s="36"/>
      <c r="I10" s="36"/>
      <c r="J10" s="36"/>
    </row>
    <row r="11" spans="5:10" ht="45.75" customHeight="1">
      <c r="E11" s="36"/>
      <c r="F11" s="36"/>
      <c r="G11" s="36"/>
      <c r="H11" s="36"/>
      <c r="I11" s="36"/>
      <c r="J11" s="36"/>
    </row>
    <row r="12" ht="45.75" customHeight="1"/>
    <row r="13" ht="46.5" customHeight="1"/>
    <row r="14" ht="37.5" customHeight="1"/>
    <row r="15" ht="37.5" customHeight="1"/>
    <row r="16" ht="44.25" customHeight="1"/>
    <row r="17" ht="33" customHeight="1"/>
    <row r="18" spans="2:11" s="68" customFormat="1" ht="12.75">
      <c r="B18" s="194"/>
      <c r="E18" s="180"/>
      <c r="F18" s="181"/>
      <c r="J18" s="180"/>
      <c r="K18" s="195"/>
    </row>
    <row r="19" spans="2:14" s="68" customFormat="1" ht="13.5" customHeight="1">
      <c r="B19" s="183"/>
      <c r="C19" s="182"/>
      <c r="D19" s="184"/>
      <c r="E19" s="182"/>
      <c r="F19" s="185"/>
      <c r="G19" s="182"/>
      <c r="H19" s="184"/>
      <c r="I19" s="182"/>
      <c r="J19" s="185"/>
      <c r="K19" s="182"/>
      <c r="L19" s="184"/>
      <c r="M19" s="182"/>
      <c r="N19" s="185"/>
    </row>
    <row r="20" spans="2:14" s="68" customFormat="1" ht="12.75">
      <c r="B20" s="82"/>
      <c r="C20" s="82"/>
      <c r="D20" s="83"/>
      <c r="E20" s="84"/>
      <c r="F20" s="85"/>
      <c r="G20" s="82"/>
      <c r="H20" s="83"/>
      <c r="I20" s="84"/>
      <c r="J20" s="85"/>
      <c r="K20" s="82"/>
      <c r="L20" s="83"/>
      <c r="M20" s="84"/>
      <c r="N20" s="85"/>
    </row>
    <row r="21" spans="1:14" s="68" customFormat="1" ht="12.75">
      <c r="A21" s="186"/>
      <c r="B21" s="82"/>
      <c r="C21" s="82"/>
      <c r="D21" s="83"/>
      <c r="E21" s="84"/>
      <c r="F21" s="85"/>
      <c r="G21" s="82"/>
      <c r="H21" s="83"/>
      <c r="I21" s="84"/>
      <c r="J21" s="85"/>
      <c r="K21" s="82"/>
      <c r="L21" s="83"/>
      <c r="M21" s="84"/>
      <c r="N21" s="85"/>
    </row>
    <row r="22" spans="1:14" s="68" customFormat="1" ht="12.75">
      <c r="A22" s="186"/>
      <c r="B22" s="82"/>
      <c r="C22" s="82"/>
      <c r="D22" s="83"/>
      <c r="E22" s="84"/>
      <c r="F22" s="85"/>
      <c r="G22" s="82"/>
      <c r="H22" s="83"/>
      <c r="I22" s="84"/>
      <c r="J22" s="85"/>
      <c r="K22" s="82"/>
      <c r="L22" s="83"/>
      <c r="M22" s="84"/>
      <c r="N22" s="85"/>
    </row>
    <row r="23" spans="1:14" s="68" customFormat="1" ht="12.75">
      <c r="A23" s="186"/>
      <c r="B23" s="82"/>
      <c r="C23" s="82"/>
      <c r="D23" s="83"/>
      <c r="E23" s="84"/>
      <c r="F23" s="85"/>
      <c r="G23" s="82"/>
      <c r="H23" s="83"/>
      <c r="I23" s="84"/>
      <c r="J23" s="85"/>
      <c r="K23" s="82"/>
      <c r="L23" s="83"/>
      <c r="M23" s="84"/>
      <c r="N23" s="85"/>
    </row>
    <row r="24" spans="1:14" s="68" customFormat="1" ht="12.75">
      <c r="A24" s="186"/>
      <c r="B24" s="82"/>
      <c r="C24" s="82"/>
      <c r="D24" s="83"/>
      <c r="E24" s="84"/>
      <c r="F24" s="85"/>
      <c r="G24" s="82"/>
      <c r="H24" s="83"/>
      <c r="I24" s="84"/>
      <c r="J24" s="85"/>
      <c r="K24" s="82"/>
      <c r="L24" s="83"/>
      <c r="M24" s="84"/>
      <c r="N24" s="85"/>
    </row>
    <row r="25" spans="1:14" s="188" customFormat="1" ht="12.75">
      <c r="A25" s="187"/>
      <c r="B25" s="86"/>
      <c r="C25" s="86"/>
      <c r="D25" s="87"/>
      <c r="E25" s="88"/>
      <c r="F25" s="89"/>
      <c r="G25" s="86"/>
      <c r="H25" s="87"/>
      <c r="I25" s="88"/>
      <c r="J25" s="89"/>
      <c r="K25" s="86"/>
      <c r="L25" s="87"/>
      <c r="M25" s="88"/>
      <c r="N25" s="89"/>
    </row>
    <row r="26" spans="1:14" s="68" customFormat="1" ht="12.75">
      <c r="A26" s="186"/>
      <c r="B26" s="82"/>
      <c r="C26" s="82"/>
      <c r="D26" s="83"/>
      <c r="E26" s="84"/>
      <c r="F26" s="85"/>
      <c r="G26" s="82"/>
      <c r="H26" s="83"/>
      <c r="I26" s="84"/>
      <c r="J26" s="85"/>
      <c r="K26" s="82"/>
      <c r="L26" s="83"/>
      <c r="M26" s="84"/>
      <c r="N26" s="85"/>
    </row>
    <row r="27" spans="1:14" s="188" customFormat="1" ht="24.75" customHeight="1">
      <c r="A27" s="189"/>
      <c r="B27" s="86"/>
      <c r="C27" s="86"/>
      <c r="D27" s="87"/>
      <c r="E27" s="88"/>
      <c r="F27" s="89"/>
      <c r="G27" s="86"/>
      <c r="H27" s="87"/>
      <c r="I27" s="88"/>
      <c r="J27" s="89"/>
      <c r="K27" s="86"/>
      <c r="L27" s="87"/>
      <c r="M27" s="88"/>
      <c r="N27" s="89"/>
    </row>
    <row r="28" spans="1:14" s="68" customFormat="1" ht="12.75">
      <c r="A28" s="186"/>
      <c r="B28" s="82"/>
      <c r="C28" s="82"/>
      <c r="D28" s="83"/>
      <c r="E28" s="84"/>
      <c r="F28" s="85"/>
      <c r="G28" s="82"/>
      <c r="H28" s="83"/>
      <c r="I28" s="84"/>
      <c r="J28" s="85"/>
      <c r="K28" s="82"/>
      <c r="L28" s="83"/>
      <c r="M28" s="84"/>
      <c r="N28" s="85"/>
    </row>
    <row r="29" spans="1:12" s="68" customFormat="1" ht="15" customHeight="1">
      <c r="A29" s="190"/>
      <c r="B29" s="191"/>
      <c r="D29" s="191"/>
      <c r="E29" s="180"/>
      <c r="F29" s="181"/>
      <c r="G29" s="192"/>
      <c r="H29" s="192"/>
      <c r="I29" s="192"/>
      <c r="J29" s="180"/>
      <c r="L29" s="193"/>
    </row>
    <row r="30" s="68" customFormat="1" ht="12.75">
      <c r="M30" s="180"/>
    </row>
    <row r="31" s="68" customFormat="1" ht="12.75">
      <c r="M31" s="180"/>
    </row>
    <row r="32" s="68" customFormat="1" ht="12.75">
      <c r="M32" s="180"/>
    </row>
    <row r="33" s="68" customFormat="1" ht="12.75">
      <c r="M33" s="180"/>
    </row>
  </sheetData>
  <sheetProtection/>
  <printOptions/>
  <pageMargins left="0.23" right="0.16" top="0.25" bottom="0.31" header="0.28" footer="0.2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6:M65"/>
  <sheetViews>
    <sheetView zoomScale="170" zoomScaleNormal="170" zoomScalePageLayoutView="0" workbookViewId="0" topLeftCell="A1">
      <selection activeCell="I1" sqref="I1"/>
    </sheetView>
  </sheetViews>
  <sheetFormatPr defaultColWidth="11.421875" defaultRowHeight="12.75"/>
  <cols>
    <col min="1" max="1" width="18.28125" style="0" customWidth="1"/>
    <col min="2" max="2" width="16.57421875" style="5" customWidth="1"/>
    <col min="3" max="3" width="10.57421875" style="0" customWidth="1"/>
    <col min="4" max="4" width="6.7109375" style="5" customWidth="1"/>
    <col min="5" max="5" width="4.7109375" style="37" customWidth="1"/>
    <col min="6" max="6" width="10.57421875" style="0" customWidth="1"/>
    <col min="7" max="7" width="6.7109375" style="0" customWidth="1"/>
    <col min="8" max="8" width="4.7109375" style="5" customWidth="1"/>
    <col min="9" max="9" width="10.28125" style="0" customWidth="1"/>
    <col min="10" max="10" width="6.7109375" style="0" customWidth="1"/>
    <col min="11" max="11" width="4.7109375" style="0" customWidth="1"/>
  </cols>
  <sheetData>
    <row r="1" ht="61.5" customHeight="1"/>
    <row r="2" ht="71.25" customHeight="1"/>
    <row r="3" ht="71.25" customHeight="1"/>
    <row r="4" ht="71.25" customHeight="1"/>
    <row r="5" ht="55.5" customHeight="1"/>
    <row r="6" ht="16.5" customHeight="1">
      <c r="A6" s="117" t="s">
        <v>118</v>
      </c>
    </row>
    <row r="7" ht="16.5" customHeight="1">
      <c r="A7" s="117" t="s">
        <v>120</v>
      </c>
    </row>
    <row r="8" ht="16.5" customHeight="1">
      <c r="A8" s="117" t="s">
        <v>121</v>
      </c>
    </row>
    <row r="9" ht="16.5" customHeight="1">
      <c r="A9" s="117" t="s">
        <v>122</v>
      </c>
    </row>
    <row r="10" ht="16.5" customHeight="1"/>
    <row r="11" spans="1:11" ht="14.25" customHeight="1">
      <c r="A11" s="386" t="s">
        <v>147</v>
      </c>
      <c r="B11" s="386"/>
      <c r="C11" s="386"/>
      <c r="D11" s="386"/>
      <c r="E11" s="387"/>
      <c r="F11" s="386"/>
      <c r="G11" s="386"/>
      <c r="H11" s="386"/>
      <c r="I11" s="386"/>
      <c r="J11" s="386"/>
      <c r="K11" s="386"/>
    </row>
    <row r="12" spans="1:11" ht="14.25" customHeight="1">
      <c r="A12" s="53" t="s">
        <v>119</v>
      </c>
      <c r="B12" s="53"/>
      <c r="C12" s="53"/>
      <c r="D12" s="53"/>
      <c r="E12" s="54"/>
      <c r="F12" s="53"/>
      <c r="G12" s="53"/>
      <c r="H12" s="53"/>
      <c r="I12" s="53"/>
      <c r="J12" s="53"/>
      <c r="K12" s="53"/>
    </row>
    <row r="13" spans="1:11" ht="14.25" customHeight="1">
      <c r="A13" s="51" t="s">
        <v>148</v>
      </c>
      <c r="B13" s="51"/>
      <c r="C13" s="51"/>
      <c r="D13" s="51"/>
      <c r="E13" s="52"/>
      <c r="F13" s="51"/>
      <c r="G13" s="51"/>
      <c r="H13" s="51"/>
      <c r="I13" s="51"/>
      <c r="J13" s="51"/>
      <c r="K13" s="51"/>
    </row>
    <row r="14" spans="1:11" ht="14.25" customHeight="1">
      <c r="A14" s="254" t="s">
        <v>149</v>
      </c>
      <c r="B14" s="254"/>
      <c r="C14" s="254"/>
      <c r="D14" s="254"/>
      <c r="E14" s="255"/>
      <c r="F14" s="254"/>
      <c r="G14" s="254"/>
      <c r="H14" s="254"/>
      <c r="I14" s="254"/>
      <c r="J14" s="254"/>
      <c r="K14" s="254"/>
    </row>
    <row r="15" spans="1:11" ht="14.25" customHeight="1">
      <c r="A15" s="358" t="s">
        <v>150</v>
      </c>
      <c r="B15" s="358"/>
      <c r="C15" s="358"/>
      <c r="D15" s="358"/>
      <c r="E15" s="359"/>
      <c r="F15" s="358"/>
      <c r="G15" s="358"/>
      <c r="H15" s="358"/>
      <c r="I15" s="358"/>
      <c r="J15" s="358"/>
      <c r="K15" s="358"/>
    </row>
    <row r="16" ht="15" customHeight="1"/>
    <row r="17" spans="1:2" ht="16.5" customHeight="1">
      <c r="A17" s="34" t="s">
        <v>10</v>
      </c>
      <c r="B17" s="43"/>
    </row>
    <row r="18" spans="1:11" ht="41.25" customHeight="1">
      <c r="A18" s="388" t="s">
        <v>22</v>
      </c>
      <c r="B18" s="389" t="s">
        <v>19</v>
      </c>
      <c r="C18" s="390" t="s">
        <v>151</v>
      </c>
      <c r="D18" s="391" t="s">
        <v>17</v>
      </c>
      <c r="E18" s="392" t="s">
        <v>14</v>
      </c>
      <c r="F18" s="388" t="s">
        <v>21</v>
      </c>
      <c r="G18" s="391" t="s">
        <v>17</v>
      </c>
      <c r="H18" s="392" t="s">
        <v>14</v>
      </c>
      <c r="I18" s="388" t="s">
        <v>20</v>
      </c>
      <c r="J18" s="391" t="s">
        <v>17</v>
      </c>
      <c r="K18" s="392" t="s">
        <v>14</v>
      </c>
    </row>
    <row r="19" spans="1:11" ht="12.75">
      <c r="A19" s="386" t="s">
        <v>147</v>
      </c>
      <c r="B19" s="393">
        <f>'A13 - Modell'!G46</f>
        <v>41493.52</v>
      </c>
      <c r="C19" s="394">
        <f>B19-B20</f>
        <v>1821.2967499999868</v>
      </c>
      <c r="D19" s="395">
        <f>B19/B$20</f>
        <v>1.0459086131503856</v>
      </c>
      <c r="E19" s="396">
        <f>C19*40/B19</f>
        <v>1.7557408964098364</v>
      </c>
      <c r="F19" s="397">
        <f>B19-B$22</f>
        <v>4992.442500000005</v>
      </c>
      <c r="G19" s="395">
        <f>B19/B$22</f>
        <v>1.1367752088962306</v>
      </c>
      <c r="H19" s="396">
        <f>E19-E$22</f>
        <v>5.230866527975117</v>
      </c>
      <c r="I19" s="397">
        <f>B19-B$21</f>
        <v>6299.694000000003</v>
      </c>
      <c r="J19" s="395">
        <f>B19/B$21</f>
        <v>1.1789999757343803</v>
      </c>
      <c r="K19" s="396">
        <f>E19-E$21</f>
        <v>6.845721451521994</v>
      </c>
    </row>
    <row r="20" spans="1:11" ht="12.75">
      <c r="A20" s="53" t="s">
        <v>119</v>
      </c>
      <c r="B20" s="151">
        <f>'A13 - Modell'!G47</f>
        <v>39672.22325000001</v>
      </c>
      <c r="C20" s="152">
        <f>B20-B$20</f>
        <v>0</v>
      </c>
      <c r="D20" s="153">
        <f>B20/B$20</f>
        <v>1</v>
      </c>
      <c r="E20" s="154">
        <f>C20*40/B20</f>
        <v>0</v>
      </c>
      <c r="F20" s="155">
        <f>B20-B$22</f>
        <v>3171.145750000018</v>
      </c>
      <c r="G20" s="153">
        <f>B20/B$22</f>
        <v>1.086878140789132</v>
      </c>
      <c r="H20" s="154">
        <f>E20-E$22</f>
        <v>3.4751256315652803</v>
      </c>
      <c r="I20" s="155">
        <f>B20-B$21</f>
        <v>4478.397250000016</v>
      </c>
      <c r="J20" s="153">
        <f>B20/B$21</f>
        <v>1.127249513877804</v>
      </c>
      <c r="K20" s="154">
        <f>E20-E$21</f>
        <v>5.089980555112158</v>
      </c>
    </row>
    <row r="21" spans="1:13" ht="12.75">
      <c r="A21" s="51" t="s">
        <v>148</v>
      </c>
      <c r="B21" s="156">
        <f>'E13 - Modell'!K47</f>
        <v>35193.825999999994</v>
      </c>
      <c r="C21" s="157">
        <f>B21-B$20</f>
        <v>-4478.397250000016</v>
      </c>
      <c r="D21" s="158">
        <f>B21/B$20</f>
        <v>0.8871150421346751</v>
      </c>
      <c r="E21" s="159">
        <f>C21*40/B21</f>
        <v>-5.089980555112158</v>
      </c>
      <c r="F21" s="160">
        <f>B21-B$22</f>
        <v>-1307.2514999999985</v>
      </c>
      <c r="G21" s="158">
        <f>B21/B$22</f>
        <v>0.9641859476614081</v>
      </c>
      <c r="H21" s="159">
        <f>E21-E$22</f>
        <v>-1.6148549235468774</v>
      </c>
      <c r="I21" s="160">
        <f>B21-B$21</f>
        <v>0</v>
      </c>
      <c r="J21" s="158">
        <f>B21/B$21</f>
        <v>1</v>
      </c>
      <c r="K21" s="159">
        <f>E21-E$21</f>
        <v>0</v>
      </c>
      <c r="M21" s="299"/>
    </row>
    <row r="22" spans="1:13" ht="12.75">
      <c r="A22" s="254" t="s">
        <v>152</v>
      </c>
      <c r="B22" s="248">
        <f>'E13 Stufe 5 - Modell'!K47</f>
        <v>36501.07749999999</v>
      </c>
      <c r="C22" s="249">
        <f>B22-B$20</f>
        <v>-3171.145750000018</v>
      </c>
      <c r="D22" s="250">
        <f>B22/B$20</f>
        <v>0.9200663464203505</v>
      </c>
      <c r="E22" s="251">
        <f>C22*40/B22</f>
        <v>-3.4751256315652803</v>
      </c>
      <c r="F22" s="252">
        <f>B22-B$22</f>
        <v>0</v>
      </c>
      <c r="G22" s="250">
        <f>B22/B$22</f>
        <v>1</v>
      </c>
      <c r="H22" s="251">
        <f>E22-E$22</f>
        <v>0</v>
      </c>
      <c r="I22" s="252">
        <f>B22-B$21</f>
        <v>1307.2514999999985</v>
      </c>
      <c r="J22" s="250">
        <f>B22/B$21</f>
        <v>1.0371443417376673</v>
      </c>
      <c r="K22" s="251">
        <f>E22-E$21</f>
        <v>1.6148549235468774</v>
      </c>
      <c r="M22" s="300"/>
    </row>
    <row r="23" spans="1:11" ht="12.75">
      <c r="A23" s="358" t="s">
        <v>153</v>
      </c>
      <c r="B23" s="360">
        <f>'E13 TV-L Zulagen - Modell'!K47</f>
        <v>39244.94449999998</v>
      </c>
      <c r="C23" s="361">
        <f>B23-B$20</f>
        <v>-427.2787500000268</v>
      </c>
      <c r="D23" s="362">
        <f>B23/B$20</f>
        <v>0.9892297755205834</v>
      </c>
      <c r="E23" s="363">
        <f>C23*40/B23</f>
        <v>-0.43549940553492383</v>
      </c>
      <c r="F23" s="364">
        <f>B23-B$22</f>
        <v>2743.866999999991</v>
      </c>
      <c r="G23" s="362">
        <f>B23/B$22</f>
        <v>1.0751722192310622</v>
      </c>
      <c r="H23" s="363">
        <f>E23-E$22</f>
        <v>3.0396262260303564</v>
      </c>
      <c r="I23" s="364">
        <f>B23-B$21</f>
        <v>4051.1184999999896</v>
      </c>
      <c r="J23" s="362">
        <f>B23/B$21</f>
        <v>1.1151087835690268</v>
      </c>
      <c r="K23" s="363">
        <f>E23-E$21</f>
        <v>4.654481149577234</v>
      </c>
    </row>
    <row r="24" spans="2:7" ht="12.75">
      <c r="B24" s="55" t="s">
        <v>18</v>
      </c>
      <c r="F24" s="55"/>
      <c r="G24" s="55"/>
    </row>
    <row r="25" spans="1:8" ht="12.75">
      <c r="A25" s="40"/>
      <c r="B25" s="44"/>
      <c r="C25" s="39"/>
      <c r="D25" s="45"/>
      <c r="E25" s="38"/>
      <c r="F25" s="9"/>
      <c r="G25" s="9"/>
      <c r="H25" s="8"/>
    </row>
    <row r="26" spans="1:2" ht="13.5" customHeight="1">
      <c r="A26" s="40"/>
      <c r="B26" s="44"/>
    </row>
    <row r="27" spans="3:4" ht="12.75">
      <c r="C27" s="36"/>
      <c r="D27" s="46"/>
    </row>
    <row r="28" spans="3:4" ht="12.75">
      <c r="C28" s="36"/>
      <c r="D28" s="46"/>
    </row>
    <row r="29" spans="3:4" ht="12.75">
      <c r="C29" s="36"/>
      <c r="D29" s="46"/>
    </row>
    <row r="30" spans="3:4" ht="12.75">
      <c r="C30" s="36"/>
      <c r="D30" s="46"/>
    </row>
    <row r="31" spans="3:4" ht="12.75">
      <c r="C31" s="36"/>
      <c r="D31" s="46"/>
    </row>
    <row r="32" spans="3:4" ht="12.75">
      <c r="C32" s="36"/>
      <c r="D32" s="46"/>
    </row>
    <row r="33" spans="3:4" ht="12.75">
      <c r="C33" s="36"/>
      <c r="D33" s="46"/>
    </row>
    <row r="34" spans="3:4" ht="12.75">
      <c r="C34" s="36"/>
      <c r="D34" s="46"/>
    </row>
    <row r="35" spans="3:4" ht="12.75">
      <c r="C35" s="36"/>
      <c r="D35" s="46"/>
    </row>
    <row r="36" spans="3:4" ht="12.75">
      <c r="C36" s="36"/>
      <c r="D36" s="46"/>
    </row>
    <row r="37" spans="3:4" ht="12.75">
      <c r="C37" s="36"/>
      <c r="D37" s="46"/>
    </row>
    <row r="38" spans="3:4" ht="12.75">
      <c r="C38" s="36"/>
      <c r="D38" s="46"/>
    </row>
    <row r="64" s="41" customFormat="1" ht="12.75">
      <c r="E64" s="50"/>
    </row>
    <row r="65" s="41" customFormat="1" ht="12.75">
      <c r="E65" s="50"/>
    </row>
  </sheetData>
  <sheetProtection/>
  <printOptions/>
  <pageMargins left="0.25" right="0.25"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6:M60"/>
  <sheetViews>
    <sheetView zoomScale="170" zoomScaleNormal="170" zoomScalePageLayoutView="0" workbookViewId="0" topLeftCell="A1">
      <selection activeCell="I2" sqref="I2"/>
    </sheetView>
  </sheetViews>
  <sheetFormatPr defaultColWidth="11.421875" defaultRowHeight="12.75"/>
  <cols>
    <col min="1" max="1" width="18.28125" style="0" customWidth="1"/>
    <col min="2" max="2" width="16.57421875" style="5" customWidth="1"/>
    <col min="3" max="3" width="10.57421875" style="0" customWidth="1"/>
    <col min="4" max="4" width="6.7109375" style="5" customWidth="1"/>
    <col min="5" max="5" width="4.7109375" style="37" customWidth="1"/>
    <col min="6" max="6" width="10.57421875" style="0" customWidth="1"/>
    <col min="7" max="7" width="6.7109375" style="0" customWidth="1"/>
    <col min="8" max="8" width="4.7109375" style="5" customWidth="1"/>
    <col min="9" max="9" width="10.28125" style="0" customWidth="1"/>
    <col min="10" max="10" width="6.7109375" style="0" customWidth="1"/>
    <col min="11" max="11" width="4.7109375" style="0" customWidth="1"/>
  </cols>
  <sheetData>
    <row r="1" ht="61.5" customHeight="1"/>
    <row r="2" ht="71.25" customHeight="1"/>
    <row r="3" ht="71.25" customHeight="1"/>
    <row r="4" ht="71.25" customHeight="1"/>
    <row r="5" ht="24" customHeight="1"/>
    <row r="6" ht="16.5" customHeight="1">
      <c r="A6" s="117" t="s">
        <v>118</v>
      </c>
    </row>
    <row r="7" ht="16.5" customHeight="1">
      <c r="A7" s="117" t="s">
        <v>120</v>
      </c>
    </row>
    <row r="8" ht="16.5" customHeight="1">
      <c r="A8" s="117" t="s">
        <v>121</v>
      </c>
    </row>
    <row r="9" ht="16.5" customHeight="1">
      <c r="A9" s="117" t="s">
        <v>122</v>
      </c>
    </row>
    <row r="10" ht="16.5" customHeight="1"/>
    <row r="11" spans="1:2" ht="16.5" customHeight="1">
      <c r="A11" s="34" t="s">
        <v>10</v>
      </c>
      <c r="B11" s="43"/>
    </row>
    <row r="12" spans="1:11" ht="41.25" customHeight="1">
      <c r="A12" s="388" t="s">
        <v>22</v>
      </c>
      <c r="B12" s="389" t="s">
        <v>19</v>
      </c>
      <c r="C12" s="390" t="s">
        <v>151</v>
      </c>
      <c r="D12" s="391" t="s">
        <v>17</v>
      </c>
      <c r="E12" s="392" t="s">
        <v>14</v>
      </c>
      <c r="F12" s="388" t="s">
        <v>21</v>
      </c>
      <c r="G12" s="391" t="s">
        <v>17</v>
      </c>
      <c r="H12" s="392" t="s">
        <v>14</v>
      </c>
      <c r="I12" s="388" t="s">
        <v>20</v>
      </c>
      <c r="J12" s="391" t="s">
        <v>17</v>
      </c>
      <c r="K12" s="392" t="s">
        <v>14</v>
      </c>
    </row>
    <row r="13" spans="1:11" ht="12.75">
      <c r="A13" s="386" t="s">
        <v>147</v>
      </c>
      <c r="B13" s="393">
        <f>'A13 - Modell'!G46</f>
        <v>41493.52</v>
      </c>
      <c r="C13" s="394">
        <f>B13-B14</f>
        <v>1821.2967499999868</v>
      </c>
      <c r="D13" s="395">
        <f aca="true" t="shared" si="0" ref="D13:D18">B13/B$14</f>
        <v>1.0459086131503856</v>
      </c>
      <c r="E13" s="396">
        <f aca="true" t="shared" si="1" ref="E13:E18">C13*40/B13</f>
        <v>1.7557408964098364</v>
      </c>
      <c r="F13" s="397">
        <f aca="true" t="shared" si="2" ref="F13:F18">B13-B$17</f>
        <v>5522.580000000031</v>
      </c>
      <c r="G13" s="395">
        <f aca="true" t="shared" si="3" ref="G13:G18">B13/B$17</f>
        <v>1.1535289319656377</v>
      </c>
      <c r="H13" s="396">
        <f aca="true" t="shared" si="4" ref="H13:H18">E13-E$17</f>
        <v>5.871600253991315</v>
      </c>
      <c r="I13" s="397">
        <f aca="true" t="shared" si="5" ref="I13:I18">B13-B$16</f>
        <v>6299.694000000003</v>
      </c>
      <c r="J13" s="395">
        <f aca="true" t="shared" si="6" ref="J13:J18">B13/B$16</f>
        <v>1.1789999757343803</v>
      </c>
      <c r="K13" s="396">
        <f aca="true" t="shared" si="7" ref="K13:K18">E13-E$16</f>
        <v>6.845721451521994</v>
      </c>
    </row>
    <row r="14" spans="1:11" ht="12.75">
      <c r="A14" s="53" t="s">
        <v>119</v>
      </c>
      <c r="B14" s="151">
        <f>'A13 - Modell'!G47</f>
        <v>39672.22325000001</v>
      </c>
      <c r="C14" s="152">
        <f>B14-B$14</f>
        <v>0</v>
      </c>
      <c r="D14" s="153">
        <f t="shared" si="0"/>
        <v>1</v>
      </c>
      <c r="E14" s="154">
        <f t="shared" si="1"/>
        <v>0</v>
      </c>
      <c r="F14" s="155">
        <f t="shared" si="2"/>
        <v>3701.283250000044</v>
      </c>
      <c r="G14" s="153">
        <f t="shared" si="3"/>
        <v>1.102896483939537</v>
      </c>
      <c r="H14" s="154">
        <f t="shared" si="4"/>
        <v>4.115859357581479</v>
      </c>
      <c r="I14" s="155">
        <f t="shared" si="5"/>
        <v>4478.397250000016</v>
      </c>
      <c r="J14" s="153">
        <f t="shared" si="6"/>
        <v>1.127249513877804</v>
      </c>
      <c r="K14" s="154">
        <f t="shared" si="7"/>
        <v>5.089980555112158</v>
      </c>
    </row>
    <row r="15" spans="1:13" ht="12.75">
      <c r="A15" s="51" t="s">
        <v>154</v>
      </c>
      <c r="B15" s="156">
        <f>'E13 ohne 6 - Modell'!K47</f>
        <v>34663.688499999975</v>
      </c>
      <c r="C15" s="157">
        <f>B15-B$14</f>
        <v>-5008.534750000035</v>
      </c>
      <c r="D15" s="158">
        <f t="shared" si="0"/>
        <v>0.87375210311663</v>
      </c>
      <c r="E15" s="159">
        <f t="shared" si="1"/>
        <v>-5.779575073206694</v>
      </c>
      <c r="F15" s="160">
        <f t="shared" si="2"/>
        <v>-1307.2514999999912</v>
      </c>
      <c r="G15" s="158">
        <f t="shared" si="3"/>
        <v>0.9636581223621069</v>
      </c>
      <c r="H15" s="159">
        <f t="shared" si="4"/>
        <v>-1.6637157156252158</v>
      </c>
      <c r="I15" s="160">
        <f t="shared" si="5"/>
        <v>-530.1375000000189</v>
      </c>
      <c r="J15" s="158">
        <f t="shared" si="6"/>
        <v>0.98493663348793</v>
      </c>
      <c r="K15" s="159">
        <f t="shared" si="7"/>
        <v>-0.6895945180945366</v>
      </c>
      <c r="M15" s="299"/>
    </row>
    <row r="16" spans="1:13" ht="12.75">
      <c r="A16" s="51" t="s">
        <v>155</v>
      </c>
      <c r="B16" s="156">
        <f>'E13 - Modell'!K47</f>
        <v>35193.825999999994</v>
      </c>
      <c r="C16" s="157">
        <f>B16-B$14</f>
        <v>-4478.397250000016</v>
      </c>
      <c r="D16" s="158">
        <f t="shared" si="0"/>
        <v>0.8871150421346751</v>
      </c>
      <c r="E16" s="159">
        <f t="shared" si="1"/>
        <v>-5.089980555112158</v>
      </c>
      <c r="F16" s="160">
        <f t="shared" si="2"/>
        <v>-777.1139999999723</v>
      </c>
      <c r="G16" s="158">
        <f t="shared" si="3"/>
        <v>0.9783960608202072</v>
      </c>
      <c r="H16" s="159">
        <f t="shared" si="4"/>
        <v>-0.9741211975306792</v>
      </c>
      <c r="I16" s="160">
        <f t="shared" si="5"/>
        <v>0</v>
      </c>
      <c r="J16" s="158">
        <f t="shared" si="6"/>
        <v>1</v>
      </c>
      <c r="K16" s="159">
        <f t="shared" si="7"/>
        <v>0</v>
      </c>
      <c r="M16" s="299"/>
    </row>
    <row r="17" spans="1:13" ht="12.75">
      <c r="A17" s="254" t="s">
        <v>156</v>
      </c>
      <c r="B17" s="248">
        <f>'E13 Stufe 5 ohne 6 - Modell'!K47</f>
        <v>35970.939999999966</v>
      </c>
      <c r="C17" s="249">
        <f>B17-B$14</f>
        <v>-3701.283250000044</v>
      </c>
      <c r="D17" s="250">
        <f t="shared" si="0"/>
        <v>0.9067034074023053</v>
      </c>
      <c r="E17" s="251">
        <f t="shared" si="1"/>
        <v>-4.115859357581479</v>
      </c>
      <c r="F17" s="252">
        <f t="shared" si="2"/>
        <v>0</v>
      </c>
      <c r="G17" s="250">
        <f t="shared" si="3"/>
        <v>1</v>
      </c>
      <c r="H17" s="251">
        <f t="shared" si="4"/>
        <v>0</v>
      </c>
      <c r="I17" s="252">
        <f t="shared" si="5"/>
        <v>777.1139999999723</v>
      </c>
      <c r="J17" s="250">
        <f t="shared" si="6"/>
        <v>1.022080975225597</v>
      </c>
      <c r="K17" s="251">
        <f t="shared" si="7"/>
        <v>0.9741211975306792</v>
      </c>
      <c r="M17" s="300"/>
    </row>
    <row r="18" spans="1:13" ht="12.75">
      <c r="A18" s="254" t="s">
        <v>157</v>
      </c>
      <c r="B18" s="248">
        <f>'E13 Stufe 5 - Modell'!K47</f>
        <v>36501.07749999999</v>
      </c>
      <c r="C18" s="249">
        <f>B18-B$14</f>
        <v>-3171.145750000018</v>
      </c>
      <c r="D18" s="250">
        <f t="shared" si="0"/>
        <v>0.9200663464203505</v>
      </c>
      <c r="E18" s="251">
        <f t="shared" si="1"/>
        <v>-3.4751256315652803</v>
      </c>
      <c r="F18" s="252">
        <f t="shared" si="2"/>
        <v>530.1375000000262</v>
      </c>
      <c r="G18" s="250">
        <f t="shared" si="3"/>
        <v>1.0147379384581006</v>
      </c>
      <c r="H18" s="251">
        <f t="shared" si="4"/>
        <v>0.6407337260161983</v>
      </c>
      <c r="I18" s="252">
        <f t="shared" si="5"/>
        <v>1307.2514999999985</v>
      </c>
      <c r="J18" s="250">
        <f t="shared" si="6"/>
        <v>1.0371443417376673</v>
      </c>
      <c r="K18" s="251">
        <f t="shared" si="7"/>
        <v>1.6148549235468774</v>
      </c>
      <c r="M18" s="300"/>
    </row>
    <row r="19" spans="2:7" ht="12.75">
      <c r="B19" s="55" t="s">
        <v>18</v>
      </c>
      <c r="F19" s="55"/>
      <c r="G19" s="55"/>
    </row>
    <row r="20" spans="1:8" ht="12.75">
      <c r="A20" s="40"/>
      <c r="B20" s="44"/>
      <c r="C20" s="39"/>
      <c r="D20" s="45"/>
      <c r="E20" s="38"/>
      <c r="F20" s="9"/>
      <c r="G20" s="9"/>
      <c r="H20" s="8"/>
    </row>
    <row r="21" spans="1:2" ht="13.5" customHeight="1">
      <c r="A21" s="40"/>
      <c r="B21" s="44"/>
    </row>
    <row r="22" spans="3:4" ht="12.75">
      <c r="C22" s="36"/>
      <c r="D22" s="46"/>
    </row>
    <row r="23" spans="3:4" ht="12.75">
      <c r="C23" s="36"/>
      <c r="D23" s="46"/>
    </row>
    <row r="24" spans="3:4" ht="12.75">
      <c r="C24" s="36"/>
      <c r="D24" s="46"/>
    </row>
    <row r="25" spans="3:4" ht="12.75">
      <c r="C25" s="36"/>
      <c r="D25" s="46"/>
    </row>
    <row r="26" spans="3:4" ht="12.75">
      <c r="C26" s="36"/>
      <c r="D26" s="46"/>
    </row>
    <row r="27" spans="3:4" ht="12.75">
      <c r="C27" s="36"/>
      <c r="D27" s="46"/>
    </row>
    <row r="28" spans="1:13" s="37" customFormat="1" ht="12.75">
      <c r="A28"/>
      <c r="B28" s="5"/>
      <c r="C28" s="36"/>
      <c r="D28" s="46"/>
      <c r="F28"/>
      <c r="G28"/>
      <c r="H28" s="5"/>
      <c r="I28"/>
      <c r="J28"/>
      <c r="K28"/>
      <c r="L28"/>
      <c r="M28"/>
    </row>
    <row r="29" spans="1:13" s="37" customFormat="1" ht="12.75">
      <c r="A29"/>
      <c r="B29" s="5"/>
      <c r="C29" s="36"/>
      <c r="D29" s="46"/>
      <c r="F29"/>
      <c r="G29"/>
      <c r="H29" s="5"/>
      <c r="I29"/>
      <c r="J29"/>
      <c r="K29"/>
      <c r="L29"/>
      <c r="M29"/>
    </row>
    <row r="30" spans="1:13" s="37" customFormat="1" ht="12.75">
      <c r="A30"/>
      <c r="B30" s="5"/>
      <c r="C30" s="36"/>
      <c r="D30" s="46"/>
      <c r="F30"/>
      <c r="G30"/>
      <c r="H30" s="5"/>
      <c r="I30"/>
      <c r="J30"/>
      <c r="K30"/>
      <c r="L30"/>
      <c r="M30"/>
    </row>
    <row r="31" spans="1:13" s="37" customFormat="1" ht="12.75">
      <c r="A31"/>
      <c r="B31" s="5"/>
      <c r="C31" s="36"/>
      <c r="D31" s="46"/>
      <c r="F31"/>
      <c r="G31"/>
      <c r="H31" s="5"/>
      <c r="I31"/>
      <c r="J31"/>
      <c r="K31"/>
      <c r="L31"/>
      <c r="M31"/>
    </row>
    <row r="32" spans="1:13" s="37" customFormat="1" ht="12.75">
      <c r="A32"/>
      <c r="B32" s="5"/>
      <c r="C32" s="36"/>
      <c r="D32" s="46"/>
      <c r="F32"/>
      <c r="G32"/>
      <c r="H32" s="5"/>
      <c r="I32"/>
      <c r="J32"/>
      <c r="K32"/>
      <c r="L32"/>
      <c r="M32"/>
    </row>
    <row r="33" spans="1:13" s="37" customFormat="1" ht="12.75">
      <c r="A33"/>
      <c r="B33" s="5"/>
      <c r="C33" s="36"/>
      <c r="D33" s="46"/>
      <c r="F33"/>
      <c r="G33"/>
      <c r="H33" s="5"/>
      <c r="I33"/>
      <c r="J33"/>
      <c r="K33"/>
      <c r="L33"/>
      <c r="M33"/>
    </row>
    <row r="59" s="41" customFormat="1" ht="12.75">
      <c r="E59" s="50"/>
    </row>
    <row r="60" s="41" customFormat="1" ht="12.75">
      <c r="E60" s="50"/>
    </row>
  </sheetData>
  <sheetProtection/>
  <printOptions/>
  <pageMargins left="0.25" right="0.25"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4:H44"/>
  <sheetViews>
    <sheetView zoomScale="130" zoomScaleNormal="130" zoomScalePageLayoutView="0" workbookViewId="0" topLeftCell="A1">
      <selection activeCell="K1" sqref="K1"/>
    </sheetView>
  </sheetViews>
  <sheetFormatPr defaultColWidth="11.421875" defaultRowHeight="12.75"/>
  <cols>
    <col min="5" max="5" width="13.28125" style="0" customWidth="1"/>
    <col min="6" max="6" width="14.8515625" style="0" customWidth="1"/>
    <col min="7" max="7" width="5.140625" style="0" customWidth="1"/>
    <col min="8" max="8" width="15.421875" style="0" customWidth="1"/>
  </cols>
  <sheetData>
    <row r="1" ht="171.75" customHeight="1"/>
    <row r="2" ht="144.75" customHeight="1"/>
    <row r="3" ht="153.75" customHeight="1"/>
    <row r="4" spans="1:8" ht="12.75">
      <c r="A4" s="247" t="s">
        <v>0</v>
      </c>
      <c r="B4" s="246" t="s">
        <v>16</v>
      </c>
      <c r="C4" s="121" t="s">
        <v>44</v>
      </c>
      <c r="D4" s="119" t="s">
        <v>15</v>
      </c>
      <c r="E4" s="284" t="s">
        <v>86</v>
      </c>
      <c r="H4" s="298"/>
    </row>
    <row r="5" spans="1:6" ht="12.75">
      <c r="A5">
        <v>1</v>
      </c>
      <c r="B5" s="36">
        <f>'A13 - Modell'!G7</f>
        <v>33715.46</v>
      </c>
      <c r="C5" s="36">
        <f>'E13 - Modell'!K7</f>
        <v>26935.23</v>
      </c>
      <c r="D5" s="36">
        <f>'E13 Stufe 5 - Modell'!K7</f>
        <v>35970.94</v>
      </c>
      <c r="E5" s="36">
        <f>'E13 TV-L Zulagen - Modell'!K7</f>
        <v>30360.43</v>
      </c>
      <c r="F5" s="36"/>
    </row>
    <row r="6" spans="1:6" ht="12.75">
      <c r="A6">
        <v>2</v>
      </c>
      <c r="B6" s="36">
        <f>'A13 - Modell'!G8</f>
        <v>35104.24</v>
      </c>
      <c r="C6" s="36">
        <f>'E13 - Modell'!K8</f>
        <v>29105.25</v>
      </c>
      <c r="D6" s="36">
        <f>'E13 Stufe 5 - Modell'!K8</f>
        <v>35970.94</v>
      </c>
      <c r="E6" s="36">
        <f>'E13 TV-L Zulagen - Modell'!K8</f>
        <v>30360.43</v>
      </c>
      <c r="F6" s="36"/>
    </row>
    <row r="7" spans="1:6" ht="12.75">
      <c r="A7">
        <v>3</v>
      </c>
      <c r="B7" s="36">
        <f>'A13 - Modell'!G9</f>
        <v>35104.24</v>
      </c>
      <c r="C7" s="36">
        <f>'E13 - Modell'!K9</f>
        <v>29105.25</v>
      </c>
      <c r="D7" s="36">
        <f>'E13 Stufe 5 - Modell'!K9</f>
        <v>35970.94</v>
      </c>
      <c r="E7" s="36">
        <f>'E13 TV-L Zulagen - Modell'!K9</f>
        <v>32798.08</v>
      </c>
      <c r="F7" s="36"/>
    </row>
    <row r="8" spans="1:6" ht="12.75">
      <c r="A8">
        <v>4</v>
      </c>
      <c r="B8" s="36">
        <f>'A13 - Modell'!G10</f>
        <v>35104.24</v>
      </c>
      <c r="C8" s="36">
        <f>'E13 - Modell'!K10</f>
        <v>30360.43</v>
      </c>
      <c r="D8" s="36">
        <f>'E13 Stufe 5 - Modell'!K10</f>
        <v>35970.94</v>
      </c>
      <c r="E8" s="36">
        <f>'E13 TV-L Zulagen - Modell'!K10</f>
        <v>32798.08</v>
      </c>
      <c r="F8" s="36"/>
    </row>
    <row r="9" spans="1:6" ht="12.75">
      <c r="A9">
        <v>5</v>
      </c>
      <c r="B9" s="36">
        <f>'A13 - Modell'!G11</f>
        <v>36466.4</v>
      </c>
      <c r="C9" s="36">
        <f>'E13 - Modell'!K11</f>
        <v>30360.43</v>
      </c>
      <c r="D9" s="36">
        <f>'E13 Stufe 5 - Modell'!K11</f>
        <v>35970.94</v>
      </c>
      <c r="E9" s="36">
        <f>'E13 TV-L Zulagen - Modell'!K11</f>
        <v>32798.08</v>
      </c>
      <c r="F9" s="36"/>
    </row>
    <row r="10" spans="1:6" ht="12.75">
      <c r="A10">
        <v>6</v>
      </c>
      <c r="B10" s="36">
        <f>'A13 - Modell'!G12</f>
        <v>36466.4</v>
      </c>
      <c r="C10" s="36">
        <f>'E13 - Modell'!K12</f>
        <v>30360.43</v>
      </c>
      <c r="D10" s="36">
        <f>'E13 Stufe 5 - Modell'!K12</f>
        <v>35970.94</v>
      </c>
      <c r="E10" s="36">
        <f>'E13 TV-L Zulagen - Modell'!K12</f>
        <v>35970.94</v>
      </c>
      <c r="F10" s="36"/>
    </row>
    <row r="11" spans="1:6" ht="12.75">
      <c r="A11">
        <v>7</v>
      </c>
      <c r="B11" s="36">
        <f>'A13 - Modell'!G13</f>
        <v>36466.4</v>
      </c>
      <c r="C11" s="36">
        <f>'E13 - Modell'!K13</f>
        <v>32798.08</v>
      </c>
      <c r="D11" s="36">
        <f>'E13 Stufe 5 - Modell'!K13</f>
        <v>35970.94</v>
      </c>
      <c r="E11" s="36">
        <f>'E13 TV-L Zulagen - Modell'!K13</f>
        <v>35970.94</v>
      </c>
      <c r="F11" s="36"/>
    </row>
    <row r="12" spans="1:6" ht="12.75">
      <c r="A12">
        <v>8</v>
      </c>
      <c r="B12" s="36">
        <f>'A13 - Modell'!G14</f>
        <v>37812.25</v>
      </c>
      <c r="C12" s="36">
        <f>'E13 - Modell'!K14</f>
        <v>32798.08</v>
      </c>
      <c r="D12" s="36">
        <f>'E13 Stufe 5 - Modell'!K14</f>
        <v>35970.94</v>
      </c>
      <c r="E12" s="36">
        <f>'E13 TV-L Zulagen - Modell'!K14</f>
        <v>35970.94</v>
      </c>
      <c r="F12" s="36"/>
    </row>
    <row r="13" spans="1:6" ht="12.75">
      <c r="A13">
        <v>9</v>
      </c>
      <c r="B13" s="36">
        <f>'A13 - Modell'!G15</f>
        <v>37812.25</v>
      </c>
      <c r="C13" s="36">
        <f>'E13 - Modell'!K15</f>
        <v>32798.08</v>
      </c>
      <c r="D13" s="36">
        <f>'E13 Stufe 5 - Modell'!K15</f>
        <v>35970.94</v>
      </c>
      <c r="E13" s="36">
        <f>'E13 TV-L Zulagen - Modell'!K15</f>
        <v>36819.16</v>
      </c>
      <c r="F13" s="36"/>
    </row>
    <row r="14" spans="1:6" ht="12.75">
      <c r="A14">
        <v>10</v>
      </c>
      <c r="B14" s="36">
        <f>'A13 - Modell'!G16</f>
        <v>37812.25</v>
      </c>
      <c r="C14" s="36">
        <f>'E13 - Modell'!K16</f>
        <v>32798.08</v>
      </c>
      <c r="D14" s="36">
        <f>'E13 Stufe 5 - Modell'!K16</f>
        <v>35970.94</v>
      </c>
      <c r="E14" s="36">
        <f>'E13 TV-L Zulagen - Modell'!K16</f>
        <v>36819.16</v>
      </c>
      <c r="F14" s="36"/>
    </row>
    <row r="15" spans="1:6" ht="12.75">
      <c r="A15">
        <v>11</v>
      </c>
      <c r="B15" s="36">
        <f>'A13 - Modell'!G17</f>
        <v>39052.08</v>
      </c>
      <c r="C15" s="36">
        <f>'E13 - Modell'!K17</f>
        <v>35970.94</v>
      </c>
      <c r="D15" s="36">
        <f>'E13 Stufe 5 - Modell'!K17</f>
        <v>35970.94</v>
      </c>
      <c r="E15" s="36">
        <f>'E13 TV-L Zulagen - Modell'!K17</f>
        <v>36819.16</v>
      </c>
      <c r="F15" s="36"/>
    </row>
    <row r="16" spans="1:6" ht="12.75">
      <c r="A16">
        <v>12</v>
      </c>
      <c r="B16" s="36">
        <f>'A13 - Modell'!G18</f>
        <v>39052.08</v>
      </c>
      <c r="C16" s="36">
        <f>'E13 - Modell'!K18</f>
        <v>35970.94</v>
      </c>
      <c r="D16" s="36">
        <f>'E13 Stufe 5 - Modell'!K18</f>
        <v>35970.94</v>
      </c>
      <c r="E16" s="36">
        <f>'E13 TV-L Zulagen - Modell'!K18</f>
        <v>41114.22</v>
      </c>
      <c r="F16" s="36"/>
    </row>
    <row r="17" spans="1:6" ht="12.75">
      <c r="A17">
        <v>13</v>
      </c>
      <c r="B17" s="36">
        <f>'A13 - Modell'!G19</f>
        <v>39052.08</v>
      </c>
      <c r="C17" s="36">
        <f>'E13 - Modell'!K19</f>
        <v>35970.94</v>
      </c>
      <c r="D17" s="36"/>
      <c r="E17" s="36">
        <f>'E13 TV-L Zulagen - Modell'!K19</f>
        <v>41114.22</v>
      </c>
      <c r="F17" s="36"/>
    </row>
    <row r="18" spans="1:6" ht="12.75">
      <c r="A18">
        <v>14</v>
      </c>
      <c r="B18" s="36">
        <f>'A13 - Modell'!G20</f>
        <v>39052.08</v>
      </c>
      <c r="C18" s="36">
        <f>'E13 - Modell'!K20</f>
        <v>35970.94</v>
      </c>
      <c r="D18" s="36"/>
      <c r="E18" s="36">
        <f>'E13 TV-L Zulagen - Modell'!K20</f>
        <v>41114.22</v>
      </c>
      <c r="F18" s="36"/>
    </row>
    <row r="19" spans="1:6" ht="12.75">
      <c r="A19">
        <v>15</v>
      </c>
      <c r="B19" s="36">
        <f>'A13 - Modell'!G21</f>
        <v>39631.28</v>
      </c>
      <c r="C19" s="36">
        <f>'E13 - Modell'!K21</f>
        <v>35970.94</v>
      </c>
      <c r="D19" s="36"/>
      <c r="E19" s="36">
        <f>'E13 TV-L Zulagen - Modell'!K21</f>
        <v>41114.22</v>
      </c>
      <c r="F19" s="36"/>
    </row>
    <row r="20" spans="1:6" ht="12.75">
      <c r="A20">
        <v>16</v>
      </c>
      <c r="B20" s="36">
        <f>'A13 - Modell'!G22</f>
        <v>39631.28</v>
      </c>
      <c r="C20" s="36">
        <f>'E13 - Modell'!K22</f>
        <v>36819.16</v>
      </c>
      <c r="D20" s="36"/>
      <c r="E20" s="36">
        <f>'E13 TV-L Zulagen - Modell'!K22</f>
        <v>41114.22</v>
      </c>
      <c r="F20" s="36"/>
    </row>
    <row r="21" spans="1:6" ht="12.75">
      <c r="A21">
        <v>17</v>
      </c>
      <c r="B21" s="36">
        <f>'A13 - Modell'!G23</f>
        <v>39631.28</v>
      </c>
      <c r="C21" s="36">
        <f>'E13 - Modell'!K23</f>
        <v>36819.16</v>
      </c>
      <c r="D21" s="36"/>
      <c r="E21" s="36">
        <f>'E13 TV-L Zulagen - Modell'!K23</f>
        <v>41114.22</v>
      </c>
      <c r="F21" s="36"/>
    </row>
    <row r="22" spans="1:6" ht="12.75">
      <c r="A22">
        <v>18</v>
      </c>
      <c r="B22" s="36">
        <f>'A13 - Modell'!G24</f>
        <v>39631.28</v>
      </c>
      <c r="C22" s="36">
        <f>'E13 - Modell'!K24</f>
        <v>36819.16</v>
      </c>
      <c r="D22" s="36"/>
      <c r="E22" s="36">
        <f>'E13 TV-L Zulagen - Modell'!K24</f>
        <v>41114.22</v>
      </c>
      <c r="F22" s="36"/>
    </row>
    <row r="23" spans="1:6" ht="12.75">
      <c r="A23">
        <v>19</v>
      </c>
      <c r="B23" s="36">
        <f>'A13 - Modell'!G25</f>
        <v>40852</v>
      </c>
      <c r="C23" s="36">
        <f>'E13 - Modell'!K25</f>
        <v>36819.16</v>
      </c>
      <c r="D23" s="36"/>
      <c r="E23" s="36">
        <f>'E13 TV-L Zulagen - Modell'!K25</f>
        <v>41114.22</v>
      </c>
      <c r="F23" s="36"/>
    </row>
    <row r="24" spans="1:6" ht="12.75">
      <c r="A24">
        <v>20</v>
      </c>
      <c r="B24" s="36">
        <f>'A13 - Modell'!G26</f>
        <v>40852</v>
      </c>
      <c r="C24" s="36">
        <f>'E13 - Modell'!K26</f>
        <v>36819.16</v>
      </c>
      <c r="D24" s="36"/>
      <c r="E24" s="36">
        <f>'E13 TV-L Zulagen - Modell'!K26</f>
        <v>41114.22</v>
      </c>
      <c r="F24" s="36"/>
    </row>
    <row r="25" spans="1:6" ht="12.75">
      <c r="A25">
        <v>21</v>
      </c>
      <c r="B25" s="36">
        <f>'A13 - Modell'!G27</f>
        <v>40852</v>
      </c>
      <c r="C25" s="36">
        <f>'E13 - Modell'!K27</f>
        <v>36819.16</v>
      </c>
      <c r="D25" s="36"/>
      <c r="E25" s="36">
        <f>'E13 TV-L Zulagen - Modell'!K27</f>
        <v>41114.22</v>
      </c>
      <c r="F25" s="36"/>
    </row>
    <row r="26" spans="1:6" ht="12.75">
      <c r="A26">
        <v>22</v>
      </c>
      <c r="B26" s="36">
        <f>'A13 - Modell'!G28</f>
        <v>40852</v>
      </c>
      <c r="C26" s="36">
        <f>'E13 - Modell'!K28</f>
        <v>36819.16</v>
      </c>
      <c r="D26" s="36"/>
      <c r="E26" s="36">
        <f>'E13 TV-L Zulagen - Modell'!K28</f>
        <v>41114.22</v>
      </c>
      <c r="F26" s="36"/>
    </row>
    <row r="27" spans="1:6" ht="12.75">
      <c r="A27">
        <v>23</v>
      </c>
      <c r="B27" s="36">
        <f>'A13 - Modell'!G29</f>
        <v>41493.52</v>
      </c>
      <c r="C27" s="36">
        <f>'E13 - Modell'!K29</f>
        <v>36819.16</v>
      </c>
      <c r="D27" s="36"/>
      <c r="E27" s="36">
        <f>'E13 TV-L Zulagen - Modell'!K29</f>
        <v>41114.22</v>
      </c>
      <c r="F27" s="36"/>
    </row>
    <row r="28" spans="1:6" ht="12.75">
      <c r="A28">
        <v>24</v>
      </c>
      <c r="B28" s="36">
        <f>'A13 - Modell'!G30</f>
        <v>41493.52</v>
      </c>
      <c r="C28" s="36">
        <f>'E13 - Modell'!K30</f>
        <v>36819.16</v>
      </c>
      <c r="D28" s="36"/>
      <c r="E28" s="36">
        <f>'E13 TV-L Zulagen - Modell'!K30</f>
        <v>41114.22</v>
      </c>
      <c r="F28" s="36"/>
    </row>
    <row r="29" spans="1:6" ht="12.75">
      <c r="A29">
        <v>25</v>
      </c>
      <c r="B29" s="36">
        <f>'A13 - Modell'!G31</f>
        <v>41493.52</v>
      </c>
      <c r="C29" s="36">
        <f>'E13 - Modell'!K31</f>
        <v>36819.16</v>
      </c>
      <c r="D29" s="36"/>
      <c r="E29" s="36">
        <f>'E13 TV-L Zulagen - Modell'!K31</f>
        <v>41114.22</v>
      </c>
      <c r="F29" s="36"/>
    </row>
    <row r="30" spans="1:6" ht="12.75">
      <c r="A30">
        <v>26</v>
      </c>
      <c r="B30" s="36">
        <f>'A13 - Modell'!G32</f>
        <v>41493.52</v>
      </c>
      <c r="C30" s="36">
        <f>'E13 - Modell'!K32</f>
        <v>36819.16</v>
      </c>
      <c r="D30" s="36"/>
      <c r="E30" s="36">
        <f>'E13 TV-L Zulagen - Modell'!K32</f>
        <v>41114.22</v>
      </c>
      <c r="F30" s="36"/>
    </row>
    <row r="31" spans="1:6" ht="12.75">
      <c r="A31">
        <v>27</v>
      </c>
      <c r="B31" s="36">
        <f>'A13 - Modell'!G33</f>
        <v>41493.52</v>
      </c>
      <c r="C31" s="36">
        <f>'E13 - Modell'!K33</f>
        <v>36819.16</v>
      </c>
      <c r="D31" s="36"/>
      <c r="E31" s="36">
        <f>'E13 TV-L Zulagen - Modell'!K33</f>
        <v>41114.22</v>
      </c>
      <c r="F31" s="36"/>
    </row>
    <row r="32" spans="1:6" ht="12.75">
      <c r="A32">
        <v>28</v>
      </c>
      <c r="B32" s="36">
        <f>'A13 - Modell'!G34</f>
        <v>41493.52</v>
      </c>
      <c r="C32" s="36">
        <f>'E13 - Modell'!K34</f>
        <v>36819.16</v>
      </c>
      <c r="D32" s="36"/>
      <c r="E32" s="36">
        <f>'E13 TV-L Zulagen - Modell'!K34</f>
        <v>41114.22</v>
      </c>
      <c r="F32" s="36"/>
    </row>
    <row r="33" spans="1:6" ht="12.75">
      <c r="A33">
        <v>29</v>
      </c>
      <c r="B33" s="36">
        <f>'A13 - Modell'!G35</f>
        <v>41493.52</v>
      </c>
      <c r="C33" s="36">
        <f>'E13 - Modell'!K35</f>
        <v>36819.16</v>
      </c>
      <c r="D33" s="36"/>
      <c r="E33" s="36">
        <f>'E13 TV-L Zulagen - Modell'!K35</f>
        <v>41114.22</v>
      </c>
      <c r="F33" s="36"/>
    </row>
    <row r="34" spans="1:6" ht="12.75">
      <c r="A34">
        <v>30</v>
      </c>
      <c r="B34" s="36">
        <f>'A13 - Modell'!G36</f>
        <v>41493.52</v>
      </c>
      <c r="C34" s="36">
        <f>'E13 - Modell'!K36</f>
        <v>36819.16</v>
      </c>
      <c r="D34" s="36"/>
      <c r="E34" s="36">
        <f>'E13 TV-L Zulagen - Modell'!K36</f>
        <v>41114.22</v>
      </c>
      <c r="F34" s="36"/>
    </row>
    <row r="35" spans="1:6" ht="12.75">
      <c r="A35">
        <v>31</v>
      </c>
      <c r="B35" s="36">
        <f>'A13 - Modell'!G37</f>
        <v>41493.52</v>
      </c>
      <c r="C35" s="36">
        <f>'E13 - Modell'!K37</f>
        <v>36819.16</v>
      </c>
      <c r="D35" s="36"/>
      <c r="E35" s="36">
        <f>'E13 TV-L Zulagen - Modell'!K37</f>
        <v>41114.22</v>
      </c>
      <c r="F35" s="36"/>
    </row>
    <row r="36" spans="1:6" ht="12.75">
      <c r="A36">
        <v>32</v>
      </c>
      <c r="B36" s="36">
        <f>'A13 - Modell'!G38</f>
        <v>41493.52</v>
      </c>
      <c r="C36" s="36">
        <f>'E13 - Modell'!K38</f>
        <v>36819.16</v>
      </c>
      <c r="D36" s="36"/>
      <c r="E36" s="36">
        <f>'E13 TV-L Zulagen - Modell'!K38</f>
        <v>41114.22</v>
      </c>
      <c r="F36" s="36"/>
    </row>
    <row r="37" spans="1:6" ht="12.75">
      <c r="A37">
        <v>33</v>
      </c>
      <c r="B37" s="36">
        <f>'A13 - Modell'!G39</f>
        <v>41493.52</v>
      </c>
      <c r="C37" s="36">
        <f>'E13 - Modell'!K39</f>
        <v>36819.16</v>
      </c>
      <c r="D37" s="36"/>
      <c r="E37" s="36">
        <f>'E13 TV-L Zulagen - Modell'!K39</f>
        <v>41114.22</v>
      </c>
      <c r="F37" s="36"/>
    </row>
    <row r="38" spans="1:6" ht="12.75">
      <c r="A38">
        <v>34</v>
      </c>
      <c r="B38" s="36">
        <f>'A13 - Modell'!G40</f>
        <v>41493.52</v>
      </c>
      <c r="C38" s="36">
        <f>'E13 - Modell'!K40</f>
        <v>36819.16</v>
      </c>
      <c r="D38" s="36"/>
      <c r="E38" s="36">
        <f>'E13 TV-L Zulagen - Modell'!K40</f>
        <v>41114.22</v>
      </c>
      <c r="F38" s="36"/>
    </row>
    <row r="39" spans="1:6" ht="12.75">
      <c r="A39">
        <v>35</v>
      </c>
      <c r="B39" s="36">
        <f>'A13 - Modell'!G41</f>
        <v>41493.52</v>
      </c>
      <c r="C39" s="36">
        <f>'E13 - Modell'!K41</f>
        <v>36819.16</v>
      </c>
      <c r="D39" s="36"/>
      <c r="E39" s="36">
        <f>'E13 TV-L Zulagen - Modell'!K41</f>
        <v>41114.22</v>
      </c>
      <c r="F39" s="36"/>
    </row>
    <row r="40" spans="1:6" ht="12.75">
      <c r="A40">
        <v>36</v>
      </c>
      <c r="B40" s="36">
        <f>'A13 - Modell'!G42</f>
        <v>41493.52</v>
      </c>
      <c r="C40" s="36">
        <f>'E13 - Modell'!K42</f>
        <v>36819.16</v>
      </c>
      <c r="D40" s="36"/>
      <c r="E40" s="36">
        <f>'E13 TV-L Zulagen - Modell'!K42</f>
        <v>41114.22</v>
      </c>
      <c r="F40" s="36"/>
    </row>
    <row r="41" spans="1:6" ht="12.75">
      <c r="A41">
        <v>37</v>
      </c>
      <c r="B41" s="36">
        <f>'A13 - Modell'!G43</f>
        <v>41493.52</v>
      </c>
      <c r="C41" s="36">
        <f>'E13 - Modell'!K43</f>
        <v>36819.16</v>
      </c>
      <c r="D41" s="36"/>
      <c r="E41" s="36">
        <f>'E13 TV-L Zulagen - Modell'!K43</f>
        <v>41114.22</v>
      </c>
      <c r="F41" s="36"/>
    </row>
    <row r="42" spans="1:6" ht="12.75">
      <c r="A42">
        <v>38</v>
      </c>
      <c r="B42" s="36">
        <f>'A13 - Modell'!G44</f>
        <v>41493.52</v>
      </c>
      <c r="C42" s="36">
        <f>'E13 - Modell'!K44</f>
        <v>36819.16</v>
      </c>
      <c r="D42" s="36"/>
      <c r="E42" s="36">
        <f>'E13 TV-L Zulagen - Modell'!K44</f>
        <v>41114.22</v>
      </c>
      <c r="F42" s="36"/>
    </row>
    <row r="43" spans="1:6" ht="12.75">
      <c r="A43">
        <v>39</v>
      </c>
      <c r="B43" s="36">
        <f>'A13 - Modell'!G45</f>
        <v>41493.52</v>
      </c>
      <c r="C43" s="36">
        <f>'E13 - Modell'!K45</f>
        <v>36819.16</v>
      </c>
      <c r="D43" s="36"/>
      <c r="E43" s="36">
        <f>'E13 TV-L Zulagen - Modell'!K45</f>
        <v>41114.22</v>
      </c>
      <c r="F43" s="36"/>
    </row>
    <row r="44" spans="1:6" ht="12.75">
      <c r="A44">
        <v>40</v>
      </c>
      <c r="B44" s="36">
        <f>'A13 - Modell'!G46</f>
        <v>41493.52</v>
      </c>
      <c r="C44" s="36">
        <f>'E13 - Modell'!K46</f>
        <v>36819.16</v>
      </c>
      <c r="D44" s="36"/>
      <c r="E44" s="36">
        <f>'E13 TV-L Zulagen - Modell'!K46</f>
        <v>41114.22</v>
      </c>
      <c r="F44" s="36"/>
    </row>
  </sheetData>
  <sheetProtection/>
  <printOptions/>
  <pageMargins left="0.787401575" right="0.787401575" top="0.59" bottom="0.63" header="0.4921259845" footer="0.4921259845"/>
  <pageSetup fitToHeight="1" fitToWidth="1" horizontalDpi="600" verticalDpi="600" orientation="portrait" paperSize="9" scale="74" r:id="rId2"/>
  <drawing r:id="rId1"/>
</worksheet>
</file>

<file path=xl/worksheets/sheet6.xml><?xml version="1.0" encoding="utf-8"?>
<worksheet xmlns="http://schemas.openxmlformats.org/spreadsheetml/2006/main" xmlns:r="http://schemas.openxmlformats.org/officeDocument/2006/relationships">
  <dimension ref="A2:F13"/>
  <sheetViews>
    <sheetView zoomScalePageLayoutView="0" workbookViewId="0" topLeftCell="A1">
      <selection activeCell="B12" sqref="B12"/>
    </sheetView>
  </sheetViews>
  <sheetFormatPr defaultColWidth="11.421875" defaultRowHeight="12.75"/>
  <cols>
    <col min="1" max="1" width="4.28125" style="0" customWidth="1"/>
    <col min="2" max="2" width="22.140625" style="0" customWidth="1"/>
    <col min="3" max="3" width="10.00390625" style="0" customWidth="1"/>
    <col min="4" max="4" width="11.28125" style="0" customWidth="1"/>
    <col min="5" max="5" width="26.57421875" style="0" customWidth="1"/>
    <col min="6" max="6" width="12.28125" style="0" customWidth="1"/>
  </cols>
  <sheetData>
    <row r="2" spans="2:6" ht="12.75">
      <c r="B2" s="2" t="s">
        <v>161</v>
      </c>
      <c r="E2" s="35" t="s">
        <v>162</v>
      </c>
      <c r="F2" s="414">
        <v>43252</v>
      </c>
    </row>
    <row r="3" spans="1:6" ht="14.25">
      <c r="A3" s="415"/>
      <c r="B3" s="415" t="s">
        <v>2</v>
      </c>
      <c r="C3" s="416" t="s">
        <v>92</v>
      </c>
      <c r="D3" s="416" t="s">
        <v>93</v>
      </c>
      <c r="E3" s="415"/>
      <c r="F3" s="415"/>
    </row>
    <row r="4" spans="2:6" ht="12.75">
      <c r="B4" s="117" t="s">
        <v>163</v>
      </c>
      <c r="C4" s="297">
        <v>130.95</v>
      </c>
      <c r="D4" s="297">
        <f>C4*12</f>
        <v>1571.3999999999999</v>
      </c>
      <c r="E4" s="247" t="s">
        <v>101</v>
      </c>
      <c r="F4" s="302">
        <f>D4*40</f>
        <v>62855.99999999999</v>
      </c>
    </row>
    <row r="5" spans="2:6" ht="12.75">
      <c r="B5" s="117" t="s">
        <v>164</v>
      </c>
      <c r="C5" s="297">
        <v>224</v>
      </c>
      <c r="D5" s="297">
        <f>C5*12</f>
        <v>2688</v>
      </c>
      <c r="E5" s="247" t="s">
        <v>160</v>
      </c>
      <c r="F5" s="302">
        <f>D5*25</f>
        <v>67200</v>
      </c>
    </row>
    <row r="6" spans="2:6" ht="13.5" thickBot="1">
      <c r="B6" s="117" t="s">
        <v>165</v>
      </c>
      <c r="C6" s="297">
        <f>C5+C4</f>
        <v>354.95</v>
      </c>
      <c r="D6" s="297">
        <f>C6*12</f>
        <v>4259.4</v>
      </c>
      <c r="E6" s="314" t="s">
        <v>102</v>
      </c>
      <c r="F6" s="106">
        <f>F4+F5</f>
        <v>130056</v>
      </c>
    </row>
    <row r="7" spans="2:3" ht="13.5" thickTop="1">
      <c r="B7" s="417" t="s">
        <v>166</v>
      </c>
      <c r="C7" s="418" t="s">
        <v>167</v>
      </c>
    </row>
    <row r="9" spans="2:5" ht="12.75">
      <c r="B9" s="2" t="s">
        <v>168</v>
      </c>
      <c r="C9" s="297"/>
      <c r="D9" s="297"/>
      <c r="E9" s="419"/>
    </row>
    <row r="10" ht="12.75">
      <c r="B10" s="420" t="s">
        <v>170</v>
      </c>
    </row>
    <row r="11" ht="12.75">
      <c r="B11" s="420" t="s">
        <v>171</v>
      </c>
    </row>
    <row r="12" ht="12.75">
      <c r="B12" s="420" t="s">
        <v>169</v>
      </c>
    </row>
    <row r="13" spans="5:6" ht="13.5" thickBot="1">
      <c r="E13" s="314" t="s">
        <v>102</v>
      </c>
      <c r="F13" s="106">
        <v>0</v>
      </c>
    </row>
    <row r="14" ht="13.5" thickTop="1"/>
  </sheetData>
  <sheetProtection/>
  <hyperlinks>
    <hyperlink ref="C7" r:id="rId1" display="http://www.besoldung-berlin.de/besoldung_in_berlin/familienzuschlag_in_berlin"/>
  </hyperlinks>
  <printOptions/>
  <pageMargins left="0.787401575" right="0.787401575" top="0.984251969" bottom="0.984251969" header="0.4921259845" footer="0.4921259845"/>
  <pageSetup horizontalDpi="600" verticalDpi="600" orientation="portrait" paperSize="9" r:id="rId2"/>
</worksheet>
</file>

<file path=xl/worksheets/sheet7.xml><?xml version="1.0" encoding="utf-8"?>
<worksheet xmlns="http://schemas.openxmlformats.org/spreadsheetml/2006/main" xmlns:r="http://schemas.openxmlformats.org/officeDocument/2006/relationships">
  <dimension ref="A1:AW49"/>
  <sheetViews>
    <sheetView zoomScale="80" zoomScaleNormal="80" zoomScalePageLayoutView="0" workbookViewId="0" topLeftCell="A1">
      <selection activeCell="P5" sqref="P5"/>
    </sheetView>
  </sheetViews>
  <sheetFormatPr defaultColWidth="11.421875" defaultRowHeight="12.75"/>
  <cols>
    <col min="1" max="1" width="5.28125" style="5" customWidth="1"/>
    <col min="2" max="2" width="3.8515625" style="5" customWidth="1"/>
    <col min="3" max="3" width="2.28125" style="5" customWidth="1"/>
    <col min="4" max="4" width="4.421875" style="0" customWidth="1"/>
    <col min="5" max="5" width="11.00390625" style="1" customWidth="1"/>
    <col min="6" max="6" width="11.140625" style="6" customWidth="1"/>
    <col min="7" max="7" width="13.7109375" style="4" customWidth="1"/>
    <col min="8" max="8" width="2.421875" style="7" customWidth="1"/>
    <col min="9" max="9" width="4.140625" style="0" customWidth="1"/>
    <col min="10" max="10" width="11.421875" style="1" customWidth="1"/>
    <col min="11" max="11" width="11.57421875" style="4" customWidth="1"/>
    <col min="12" max="12" width="11.28125" style="26" customWidth="1"/>
    <col min="13" max="13" width="11.8515625" style="26" customWidth="1"/>
    <col min="14" max="14" width="5.57421875" style="6" customWidth="1"/>
    <col min="15" max="15" width="5.7109375" style="5" customWidth="1"/>
    <col min="16" max="16" width="11.421875" style="30" customWidth="1"/>
    <col min="17" max="17" width="3.57421875" style="30" customWidth="1"/>
    <col min="18" max="18" width="3.140625" style="0" customWidth="1"/>
    <col min="19" max="19" width="3.28125" style="0" customWidth="1"/>
    <col min="20" max="20" width="2.28125" style="197" customWidth="1"/>
    <col min="21" max="21" width="11.28125" style="197" customWidth="1"/>
    <col min="22" max="22" width="11.421875" style="197" customWidth="1"/>
    <col min="23" max="23" width="6.28125" style="197" customWidth="1"/>
    <col min="24" max="24" width="10.28125" style="197" customWidth="1"/>
    <col min="27" max="27" width="3.421875" style="0" customWidth="1"/>
    <col min="28" max="28" width="4.140625" style="0" customWidth="1"/>
    <col min="35" max="35" width="11.8515625" style="0" customWidth="1"/>
    <col min="37" max="37" width="3.57421875" style="0" customWidth="1"/>
    <col min="38" max="38" width="12.140625" style="0" customWidth="1"/>
    <col min="40" max="40" width="3.28125" style="0" customWidth="1"/>
  </cols>
  <sheetData>
    <row r="1" spans="4:46" ht="12.75" customHeight="1">
      <c r="D1" s="34" t="s">
        <v>12</v>
      </c>
      <c r="O1" s="22" t="s">
        <v>123</v>
      </c>
      <c r="P1" s="33">
        <v>210</v>
      </c>
      <c r="Q1" s="33"/>
      <c r="R1" s="71"/>
      <c r="S1" s="197"/>
      <c r="U1" s="197" t="s">
        <v>130</v>
      </c>
      <c r="V1" s="367" t="s">
        <v>132</v>
      </c>
      <c r="W1" s="367"/>
      <c r="Y1" s="367" t="s">
        <v>137</v>
      </c>
      <c r="AA1" s="197"/>
      <c r="AB1" s="197"/>
      <c r="AC1" s="2" t="s">
        <v>50</v>
      </c>
      <c r="AF1" s="239" t="s">
        <v>127</v>
      </c>
      <c r="AH1" s="198"/>
      <c r="AI1" s="198"/>
      <c r="AJ1" s="208">
        <v>53100</v>
      </c>
      <c r="AK1" s="117" t="s">
        <v>128</v>
      </c>
      <c r="AM1" s="137"/>
      <c r="AN1" s="2"/>
      <c r="AO1" s="2" t="s">
        <v>60</v>
      </c>
      <c r="AT1" s="198"/>
    </row>
    <row r="2" spans="18:46" ht="2.25" customHeight="1">
      <c r="R2" s="71"/>
      <c r="S2" s="197"/>
      <c r="Y2" s="197"/>
      <c r="AA2" s="197"/>
      <c r="AB2" s="197"/>
      <c r="AH2" s="198"/>
      <c r="AI2" s="198"/>
      <c r="AJ2" s="2"/>
      <c r="AK2" s="117"/>
      <c r="AL2" s="117"/>
      <c r="AM2" s="137"/>
      <c r="AN2" s="2"/>
      <c r="AT2" s="198"/>
    </row>
    <row r="3" spans="1:46" ht="12.75">
      <c r="A3" s="8"/>
      <c r="B3" s="8"/>
      <c r="C3" s="8"/>
      <c r="D3" s="40" t="s">
        <v>124</v>
      </c>
      <c r="E3" s="10"/>
      <c r="F3" s="10"/>
      <c r="G3" s="11"/>
      <c r="H3" s="12"/>
      <c r="I3" s="9"/>
      <c r="J3" s="10"/>
      <c r="K3" s="11"/>
      <c r="L3" s="27"/>
      <c r="M3" s="27"/>
      <c r="N3" s="23"/>
      <c r="O3" s="8"/>
      <c r="P3" s="31"/>
      <c r="Q3" s="31"/>
      <c r="R3" s="71"/>
      <c r="S3" s="197"/>
      <c r="U3" s="367" t="s">
        <v>141</v>
      </c>
      <c r="V3" s="369" t="s">
        <v>140</v>
      </c>
      <c r="Y3" s="367" t="s">
        <v>142</v>
      </c>
      <c r="AA3" s="197"/>
      <c r="AB3" s="197"/>
      <c r="AC3" t="s">
        <v>49</v>
      </c>
      <c r="AD3" t="s">
        <v>49</v>
      </c>
      <c r="AE3" t="s">
        <v>49</v>
      </c>
      <c r="AF3" t="s">
        <v>49</v>
      </c>
      <c r="AG3" t="s">
        <v>49</v>
      </c>
      <c r="AH3" s="198"/>
      <c r="AI3" s="198" t="s">
        <v>129</v>
      </c>
      <c r="AJ3" s="208">
        <v>78000</v>
      </c>
      <c r="AK3" s="117" t="s">
        <v>128</v>
      </c>
      <c r="AL3" s="117"/>
      <c r="AM3" s="137"/>
      <c r="AN3" s="2"/>
      <c r="AO3" t="s">
        <v>49</v>
      </c>
      <c r="AP3" t="s">
        <v>49</v>
      </c>
      <c r="AQ3" t="s">
        <v>49</v>
      </c>
      <c r="AR3" t="s">
        <v>49</v>
      </c>
      <c r="AS3" t="s">
        <v>49</v>
      </c>
      <c r="AT3" s="198"/>
    </row>
    <row r="4" spans="1:46" ht="3" customHeight="1">
      <c r="A4" s="8"/>
      <c r="B4" s="8"/>
      <c r="C4" s="8"/>
      <c r="D4" s="9"/>
      <c r="E4" s="10"/>
      <c r="F4" s="10"/>
      <c r="G4" s="11"/>
      <c r="H4" s="12"/>
      <c r="I4" s="9"/>
      <c r="J4" s="10"/>
      <c r="K4" s="11"/>
      <c r="L4" s="27"/>
      <c r="M4" s="27"/>
      <c r="N4" s="23"/>
      <c r="O4" s="8"/>
      <c r="P4" s="31"/>
      <c r="Q4" s="31"/>
      <c r="R4" s="71"/>
      <c r="S4" s="197"/>
      <c r="Y4" s="197"/>
      <c r="AA4" s="197"/>
      <c r="AB4" s="197"/>
      <c r="AH4" s="198"/>
      <c r="AI4" s="198"/>
      <c r="AJ4" s="2"/>
      <c r="AK4" s="2"/>
      <c r="AL4" s="117"/>
      <c r="AM4" s="137"/>
      <c r="AN4" s="2"/>
      <c r="AT4" s="198"/>
    </row>
    <row r="5" spans="1:46" ht="35.25" customHeight="1">
      <c r="A5" s="8"/>
      <c r="B5" s="8"/>
      <c r="C5" s="8"/>
      <c r="D5" s="398" t="s">
        <v>103</v>
      </c>
      <c r="E5" s="399"/>
      <c r="F5" s="399"/>
      <c r="G5" s="400"/>
      <c r="H5" s="25"/>
      <c r="I5" s="401" t="s">
        <v>104</v>
      </c>
      <c r="J5" s="402"/>
      <c r="K5" s="402"/>
      <c r="L5" s="402"/>
      <c r="M5" s="403"/>
      <c r="N5" s="58"/>
      <c r="O5" s="8"/>
      <c r="P5" s="58"/>
      <c r="Q5" s="58"/>
      <c r="R5" s="71"/>
      <c r="S5" s="197"/>
      <c r="U5" s="366">
        <v>3045</v>
      </c>
      <c r="V5" s="368">
        <v>32.03</v>
      </c>
      <c r="W5" s="368"/>
      <c r="Y5" s="368">
        <v>4</v>
      </c>
      <c r="AA5" s="197"/>
      <c r="AB5" s="197"/>
      <c r="AC5" s="219">
        <v>0.073</v>
      </c>
      <c r="AD5" s="220">
        <v>0.01275</v>
      </c>
      <c r="AE5" s="219">
        <v>0.015</v>
      </c>
      <c r="AF5" s="219">
        <v>0.093</v>
      </c>
      <c r="AG5" s="219">
        <v>0.0645</v>
      </c>
      <c r="AH5" s="219">
        <f>SUM(AC5:AG5)</f>
        <v>0.25825</v>
      </c>
      <c r="AI5" s="198"/>
      <c r="AJ5" s="2"/>
      <c r="AK5" s="2"/>
      <c r="AL5" s="117"/>
      <c r="AM5" s="137"/>
      <c r="AN5" s="2"/>
      <c r="AO5" s="219">
        <v>0.073</v>
      </c>
      <c r="AP5" s="220">
        <v>0.01275</v>
      </c>
      <c r="AQ5" s="219">
        <v>0.015</v>
      </c>
      <c r="AR5" s="219">
        <v>0.093</v>
      </c>
      <c r="AS5" s="219">
        <v>0.0181</v>
      </c>
      <c r="AT5" s="219">
        <f>SUM(AO5:AS5)</f>
        <v>0.21184999999999998</v>
      </c>
    </row>
    <row r="6" spans="1:46" ht="33" customHeight="1">
      <c r="A6" s="107" t="s">
        <v>29</v>
      </c>
      <c r="B6" s="13" t="s">
        <v>1</v>
      </c>
      <c r="C6" s="13"/>
      <c r="D6" s="59" t="s">
        <v>2</v>
      </c>
      <c r="E6" s="60" t="s">
        <v>4</v>
      </c>
      <c r="F6" s="60" t="s">
        <v>3</v>
      </c>
      <c r="G6" s="61" t="s">
        <v>23</v>
      </c>
      <c r="H6" s="15"/>
      <c r="I6" s="59" t="s">
        <v>2</v>
      </c>
      <c r="J6" s="60" t="s">
        <v>5</v>
      </c>
      <c r="K6" s="62" t="s">
        <v>6</v>
      </c>
      <c r="L6" s="63" t="s">
        <v>8</v>
      </c>
      <c r="M6" s="64" t="s">
        <v>24</v>
      </c>
      <c r="N6" s="107" t="s">
        <v>29</v>
      </c>
      <c r="O6" s="13" t="s">
        <v>1</v>
      </c>
      <c r="P6" s="48"/>
      <c r="Q6" s="48"/>
      <c r="R6" s="71"/>
      <c r="S6" s="197"/>
      <c r="T6" s="378"/>
      <c r="U6" s="379" t="s">
        <v>131</v>
      </c>
      <c r="V6" s="380" t="s">
        <v>133</v>
      </c>
      <c r="W6" s="380" t="s">
        <v>135</v>
      </c>
      <c r="X6" s="381" t="s">
        <v>136</v>
      </c>
      <c r="Y6" s="380" t="s">
        <v>138</v>
      </c>
      <c r="Z6" s="382" t="s">
        <v>139</v>
      </c>
      <c r="AA6" s="197"/>
      <c r="AB6" s="199"/>
      <c r="AC6" s="200" t="s">
        <v>62</v>
      </c>
      <c r="AD6" s="200" t="s">
        <v>51</v>
      </c>
      <c r="AE6" s="200" t="s">
        <v>75</v>
      </c>
      <c r="AF6" s="200" t="s">
        <v>76</v>
      </c>
      <c r="AG6" s="200" t="s">
        <v>61</v>
      </c>
      <c r="AH6" s="201" t="s">
        <v>54</v>
      </c>
      <c r="AI6" s="201" t="s">
        <v>69</v>
      </c>
      <c r="AJ6" s="202" t="s">
        <v>56</v>
      </c>
      <c r="AK6" s="203"/>
      <c r="AL6" s="224" t="s">
        <v>57</v>
      </c>
      <c r="AM6" s="225" t="s">
        <v>59</v>
      </c>
      <c r="AN6" s="203"/>
      <c r="AO6" s="226" t="s">
        <v>62</v>
      </c>
      <c r="AP6" s="200" t="s">
        <v>51</v>
      </c>
      <c r="AQ6" s="200" t="s">
        <v>52</v>
      </c>
      <c r="AR6" s="200" t="s">
        <v>53</v>
      </c>
      <c r="AS6" s="200" t="s">
        <v>61</v>
      </c>
      <c r="AT6" s="232" t="s">
        <v>54</v>
      </c>
    </row>
    <row r="7" spans="1:46" ht="11.25" customHeight="1">
      <c r="A7" s="8">
        <v>1</v>
      </c>
      <c r="B7" s="8">
        <v>27</v>
      </c>
      <c r="C7" s="8"/>
      <c r="D7" s="346">
        <v>1</v>
      </c>
      <c r="E7" s="17">
        <f>VLOOKUP(D7,'A13 - Tabelle'!$A$6:$F$13,6)</f>
        <v>47088.24</v>
      </c>
      <c r="F7" s="17">
        <f>VLOOKUP(D7,'A13 - Tabelle'!$A$6:$G$13,7)</f>
        <v>36235.46</v>
      </c>
      <c r="G7" s="18">
        <f aca="true" t="shared" si="0" ref="G7:G46">F7-12*$P$1</f>
        <v>33715.46</v>
      </c>
      <c r="H7" s="19"/>
      <c r="I7" s="16">
        <v>1</v>
      </c>
      <c r="J7" s="17">
        <f>VLOOKUP(I7,'E13 - Tabelle'!$A$7:$L$19,11)</f>
        <v>45900.25</v>
      </c>
      <c r="K7" s="20">
        <f>VLOOKUP(I7,'E13 - Tabelle'!$A$7:$L$19,12)</f>
        <v>26935.23</v>
      </c>
      <c r="L7" s="28">
        <f aca="true" t="shared" si="1" ref="L7:L46">K7-G7</f>
        <v>-6780.23</v>
      </c>
      <c r="M7" s="32">
        <f>L7</f>
        <v>-6780.23</v>
      </c>
      <c r="N7" s="8">
        <v>1</v>
      </c>
      <c r="O7" s="8">
        <v>27</v>
      </c>
      <c r="P7" s="47"/>
      <c r="Q7" s="47"/>
      <c r="R7" s="71"/>
      <c r="S7" s="197"/>
      <c r="T7" s="204"/>
      <c r="U7" s="370">
        <f>J7/(U$5*12)</f>
        <v>1.256164477285167</v>
      </c>
      <c r="V7" s="371"/>
      <c r="W7" s="68">
        <v>2.2</v>
      </c>
      <c r="X7" s="370">
        <f aca="true" t="shared" si="2" ref="X7:X46">J7/12/1000*W7</f>
        <v>8.415045833333334</v>
      </c>
      <c r="Y7" s="68"/>
      <c r="Z7" s="372"/>
      <c r="AA7" s="197"/>
      <c r="AB7" s="204"/>
      <c r="AC7" s="205">
        <f aca="true" t="shared" si="3" ref="AC7:AD26">IF(($J7&lt;$AJ$1),$J7/12*AC$5,$AJ$1/12*AC$5)</f>
        <v>279.2265208333333</v>
      </c>
      <c r="AD7" s="205">
        <f t="shared" si="3"/>
        <v>48.769015625</v>
      </c>
      <c r="AE7" s="205">
        <f aca="true" t="shared" si="4" ref="AE7:AG26">$J7/12*AE$5</f>
        <v>57.3753125</v>
      </c>
      <c r="AF7" s="205">
        <f t="shared" si="4"/>
        <v>355.7269375</v>
      </c>
      <c r="AG7" s="205">
        <f t="shared" si="4"/>
        <v>246.71384375000002</v>
      </c>
      <c r="AH7" s="206">
        <f>SUM(AC7:AG7)</f>
        <v>987.8116302083333</v>
      </c>
      <c r="AI7" s="206">
        <f aca="true" t="shared" si="5" ref="AI7:AI46">J7/12</f>
        <v>3825.0208333333335</v>
      </c>
      <c r="AJ7" s="207">
        <f>AI7+AH7</f>
        <v>4812.832463541667</v>
      </c>
      <c r="AK7" s="208"/>
      <c r="AL7" s="221">
        <f>K7/12</f>
        <v>2244.6025</v>
      </c>
      <c r="AM7" s="222">
        <f aca="true" t="shared" si="6" ref="AM7:AM46">AJ7-AL7</f>
        <v>2568.2299635416666</v>
      </c>
      <c r="AN7" s="208"/>
      <c r="AO7" s="227">
        <f aca="true" t="shared" si="7" ref="AO7:AP26">IF(($J7&lt;$AJ$1),$J7/12*AO$5,$AJ$1/12*AO$5)</f>
        <v>279.2265208333333</v>
      </c>
      <c r="AP7" s="227">
        <f t="shared" si="7"/>
        <v>48.769015625</v>
      </c>
      <c r="AQ7" s="205">
        <f>$J7/12*AQ$5</f>
        <v>57.3753125</v>
      </c>
      <c r="AR7" s="205">
        <f>$J7/12*AR$5</f>
        <v>355.7269375</v>
      </c>
      <c r="AS7" s="205">
        <f>$J7/12*AS$5</f>
        <v>69.23287708333334</v>
      </c>
      <c r="AT7" s="231">
        <f>SUM(AO7:AS7)</f>
        <v>810.3306635416666</v>
      </c>
    </row>
    <row r="8" spans="1:46" ht="11.25" customHeight="1">
      <c r="A8" s="8">
        <v>2</v>
      </c>
      <c r="B8" s="8">
        <v>28</v>
      </c>
      <c r="C8" s="8"/>
      <c r="D8" s="346">
        <v>2</v>
      </c>
      <c r="E8" s="17">
        <f>VLOOKUP(D8,'A13 - Tabelle'!$A$6:$F$13,6)</f>
        <v>49409.64</v>
      </c>
      <c r="F8" s="17">
        <f>VLOOKUP(D8,'A13 - Tabelle'!$A$6:$G$13,7)</f>
        <v>37624.24</v>
      </c>
      <c r="G8" s="18">
        <f t="shared" si="0"/>
        <v>35104.24</v>
      </c>
      <c r="H8" s="19"/>
      <c r="I8" s="16">
        <v>2</v>
      </c>
      <c r="J8" s="17">
        <f>VLOOKUP(I8,'E13 - Tabelle'!$A$7:$L$19,11)</f>
        <v>50947</v>
      </c>
      <c r="K8" s="20">
        <f>VLOOKUP(I8,'E13 - Tabelle'!$A$7:$L$19,12)</f>
        <v>29105.25</v>
      </c>
      <c r="L8" s="28">
        <f t="shared" si="1"/>
        <v>-5998.989999999998</v>
      </c>
      <c r="M8" s="32">
        <f>L8+M7</f>
        <v>-12779.219999999998</v>
      </c>
      <c r="N8" s="8">
        <v>2</v>
      </c>
      <c r="O8" s="8">
        <v>28</v>
      </c>
      <c r="P8" s="47"/>
      <c r="Q8" s="47"/>
      <c r="R8" s="71"/>
      <c r="S8" s="197"/>
      <c r="T8" s="204"/>
      <c r="U8" s="370">
        <f aca="true" t="shared" si="8" ref="U8:U46">J8/(U$5*12)</f>
        <v>1.394280240831965</v>
      </c>
      <c r="V8" s="371"/>
      <c r="W8" s="68">
        <v>2.2</v>
      </c>
      <c r="X8" s="370">
        <f t="shared" si="2"/>
        <v>9.340283333333334</v>
      </c>
      <c r="Y8" s="68"/>
      <c r="Z8" s="372"/>
      <c r="AA8" s="197"/>
      <c r="AB8" s="204"/>
      <c r="AC8" s="205">
        <f t="shared" si="3"/>
        <v>309.9275833333333</v>
      </c>
      <c r="AD8" s="205">
        <f t="shared" si="3"/>
        <v>54.131187499999996</v>
      </c>
      <c r="AE8" s="205">
        <f t="shared" si="4"/>
        <v>63.683749999999996</v>
      </c>
      <c r="AF8" s="205">
        <f t="shared" si="4"/>
        <v>394.83925</v>
      </c>
      <c r="AG8" s="205">
        <f t="shared" si="4"/>
        <v>273.840125</v>
      </c>
      <c r="AH8" s="206">
        <f aca="true" t="shared" si="9" ref="AH8:AH46">SUM(AC8:AG8)</f>
        <v>1096.4218958333333</v>
      </c>
      <c r="AI8" s="206">
        <f t="shared" si="5"/>
        <v>4245.583333333333</v>
      </c>
      <c r="AJ8" s="207">
        <f aca="true" t="shared" si="10" ref="AJ8:AJ46">AI8+AH8</f>
        <v>5342.005229166666</v>
      </c>
      <c r="AK8" s="208"/>
      <c r="AL8" s="221">
        <f aca="true" t="shared" si="11" ref="AL8:AL46">K8/12</f>
        <v>2425.4375</v>
      </c>
      <c r="AM8" s="222">
        <f t="shared" si="6"/>
        <v>2916.567729166666</v>
      </c>
      <c r="AN8" s="208"/>
      <c r="AO8" s="227">
        <f t="shared" si="7"/>
        <v>309.9275833333333</v>
      </c>
      <c r="AP8" s="227">
        <f t="shared" si="7"/>
        <v>54.131187499999996</v>
      </c>
      <c r="AQ8" s="205">
        <f aca="true" t="shared" si="12" ref="AQ8:AS46">$J8/12*AQ$5</f>
        <v>63.683749999999996</v>
      </c>
      <c r="AR8" s="205">
        <f t="shared" si="12"/>
        <v>394.83925</v>
      </c>
      <c r="AS8" s="205">
        <f t="shared" si="12"/>
        <v>76.84505833333334</v>
      </c>
      <c r="AT8" s="231">
        <f aca="true" t="shared" si="13" ref="AT8:AT46">SUM(AO8:AS8)</f>
        <v>899.4268291666666</v>
      </c>
    </row>
    <row r="9" spans="1:46" ht="11.25" customHeight="1">
      <c r="A9" s="8">
        <v>3</v>
      </c>
      <c r="B9" s="8">
        <v>29</v>
      </c>
      <c r="C9" s="8"/>
      <c r="D9" s="346">
        <v>2</v>
      </c>
      <c r="E9" s="17">
        <f>VLOOKUP(D9,'A13 - Tabelle'!$A$6:$F$13,6)</f>
        <v>49409.64</v>
      </c>
      <c r="F9" s="17">
        <f>VLOOKUP(D9,'A13 - Tabelle'!$A$6:$G$13,7)</f>
        <v>37624.24</v>
      </c>
      <c r="G9" s="18">
        <f t="shared" si="0"/>
        <v>35104.24</v>
      </c>
      <c r="H9" s="19"/>
      <c r="I9" s="16">
        <v>2</v>
      </c>
      <c r="J9" s="17">
        <f>VLOOKUP(I9,'E13 - Tabelle'!$A$7:$L$19,11)</f>
        <v>50947</v>
      </c>
      <c r="K9" s="20">
        <f>VLOOKUP(I9,'E13 - Tabelle'!$A$7:$L$19,12)</f>
        <v>29105.25</v>
      </c>
      <c r="L9" s="28">
        <f t="shared" si="1"/>
        <v>-5998.989999999998</v>
      </c>
      <c r="M9" s="32">
        <f aca="true" t="shared" si="14" ref="M9:M46">L9+M8</f>
        <v>-18778.209999999995</v>
      </c>
      <c r="N9" s="8">
        <v>3</v>
      </c>
      <c r="O9" s="8">
        <v>29</v>
      </c>
      <c r="P9" s="47"/>
      <c r="Q9" s="47"/>
      <c r="R9" s="71"/>
      <c r="S9" s="197"/>
      <c r="T9" s="204"/>
      <c r="U9" s="370">
        <f t="shared" si="8"/>
        <v>1.394280240831965</v>
      </c>
      <c r="V9" s="371"/>
      <c r="W9" s="68">
        <v>2.1</v>
      </c>
      <c r="X9" s="370">
        <f t="shared" si="2"/>
        <v>8.915725</v>
      </c>
      <c r="Y9" s="68"/>
      <c r="Z9" s="372"/>
      <c r="AA9" s="197"/>
      <c r="AB9" s="204"/>
      <c r="AC9" s="205">
        <f t="shared" si="3"/>
        <v>309.9275833333333</v>
      </c>
      <c r="AD9" s="205">
        <f t="shared" si="3"/>
        <v>54.131187499999996</v>
      </c>
      <c r="AE9" s="205">
        <f t="shared" si="4"/>
        <v>63.683749999999996</v>
      </c>
      <c r="AF9" s="205">
        <f t="shared" si="4"/>
        <v>394.83925</v>
      </c>
      <c r="AG9" s="205">
        <f t="shared" si="4"/>
        <v>273.840125</v>
      </c>
      <c r="AH9" s="206">
        <f t="shared" si="9"/>
        <v>1096.4218958333333</v>
      </c>
      <c r="AI9" s="206">
        <f t="shared" si="5"/>
        <v>4245.583333333333</v>
      </c>
      <c r="AJ9" s="207">
        <f t="shared" si="10"/>
        <v>5342.005229166666</v>
      </c>
      <c r="AK9" s="208"/>
      <c r="AL9" s="221">
        <f t="shared" si="11"/>
        <v>2425.4375</v>
      </c>
      <c r="AM9" s="222">
        <f t="shared" si="6"/>
        <v>2916.567729166666</v>
      </c>
      <c r="AN9" s="208"/>
      <c r="AO9" s="227">
        <f t="shared" si="7"/>
        <v>309.9275833333333</v>
      </c>
      <c r="AP9" s="227">
        <f t="shared" si="7"/>
        <v>54.131187499999996</v>
      </c>
      <c r="AQ9" s="205">
        <f t="shared" si="12"/>
        <v>63.683749999999996</v>
      </c>
      <c r="AR9" s="205">
        <f t="shared" si="12"/>
        <v>394.83925</v>
      </c>
      <c r="AS9" s="205">
        <f t="shared" si="12"/>
        <v>76.84505833333334</v>
      </c>
      <c r="AT9" s="231">
        <f t="shared" si="13"/>
        <v>899.4268291666666</v>
      </c>
    </row>
    <row r="10" spans="1:46" ht="11.25" customHeight="1">
      <c r="A10" s="8">
        <v>4</v>
      </c>
      <c r="B10" s="8">
        <v>30</v>
      </c>
      <c r="C10" s="8"/>
      <c r="D10" s="346">
        <v>2</v>
      </c>
      <c r="E10" s="17">
        <f>VLOOKUP(D10,'A13 - Tabelle'!$A$6:$F$13,6)</f>
        <v>49409.64</v>
      </c>
      <c r="F10" s="17">
        <f>VLOOKUP(D10,'A13 - Tabelle'!$A$6:$G$13,7)</f>
        <v>37624.24</v>
      </c>
      <c r="G10" s="18">
        <f t="shared" si="0"/>
        <v>35104.24</v>
      </c>
      <c r="H10" s="19"/>
      <c r="I10" s="16">
        <v>3</v>
      </c>
      <c r="J10" s="17">
        <f>VLOOKUP(I10,'E13 - Tabelle'!$A$7:$L$19,11)</f>
        <v>53664.625</v>
      </c>
      <c r="K10" s="20">
        <f>VLOOKUP(I10,'E13 - Tabelle'!$A$7:$L$19,12)</f>
        <v>30360.43</v>
      </c>
      <c r="L10" s="28">
        <f t="shared" si="1"/>
        <v>-4743.809999999998</v>
      </c>
      <c r="M10" s="32">
        <f t="shared" si="14"/>
        <v>-23522.019999999993</v>
      </c>
      <c r="N10" s="8">
        <v>4</v>
      </c>
      <c r="O10" s="8">
        <v>30</v>
      </c>
      <c r="P10" s="47"/>
      <c r="Q10" s="47"/>
      <c r="R10" s="71"/>
      <c r="S10" s="197"/>
      <c r="T10" s="204"/>
      <c r="U10" s="370">
        <f t="shared" si="8"/>
        <v>1.468654214559387</v>
      </c>
      <c r="V10" s="371"/>
      <c r="W10" s="68">
        <v>2</v>
      </c>
      <c r="X10" s="370">
        <f t="shared" si="2"/>
        <v>8.944104166666666</v>
      </c>
      <c r="Y10" s="68"/>
      <c r="Z10" s="372"/>
      <c r="AA10" s="197"/>
      <c r="AB10" s="204"/>
      <c r="AC10" s="205">
        <f t="shared" si="3"/>
        <v>323.025</v>
      </c>
      <c r="AD10" s="205">
        <f t="shared" si="3"/>
        <v>56.418749999999996</v>
      </c>
      <c r="AE10" s="205">
        <f t="shared" si="4"/>
        <v>67.08078124999999</v>
      </c>
      <c r="AF10" s="205">
        <f t="shared" si="4"/>
        <v>415.90084375</v>
      </c>
      <c r="AG10" s="205">
        <f t="shared" si="4"/>
        <v>288.44735937499996</v>
      </c>
      <c r="AH10" s="206">
        <f t="shared" si="9"/>
        <v>1150.872734375</v>
      </c>
      <c r="AI10" s="206">
        <f t="shared" si="5"/>
        <v>4472.052083333333</v>
      </c>
      <c r="AJ10" s="207">
        <f t="shared" si="10"/>
        <v>5622.924817708333</v>
      </c>
      <c r="AK10" s="208"/>
      <c r="AL10" s="221">
        <f t="shared" si="11"/>
        <v>2530.0358333333334</v>
      </c>
      <c r="AM10" s="222">
        <f t="shared" si="6"/>
        <v>3092.8889843749994</v>
      </c>
      <c r="AN10" s="208"/>
      <c r="AO10" s="227">
        <f t="shared" si="7"/>
        <v>323.025</v>
      </c>
      <c r="AP10" s="227">
        <f t="shared" si="7"/>
        <v>56.418749999999996</v>
      </c>
      <c r="AQ10" s="205">
        <f t="shared" si="12"/>
        <v>67.08078124999999</v>
      </c>
      <c r="AR10" s="205">
        <f t="shared" si="12"/>
        <v>415.90084375</v>
      </c>
      <c r="AS10" s="205">
        <f t="shared" si="12"/>
        <v>80.94414270833333</v>
      </c>
      <c r="AT10" s="231">
        <f t="shared" si="13"/>
        <v>943.3695177083332</v>
      </c>
    </row>
    <row r="11" spans="1:46" ht="11.25" customHeight="1">
      <c r="A11" s="8">
        <v>5</v>
      </c>
      <c r="B11" s="8">
        <v>31</v>
      </c>
      <c r="C11" s="8"/>
      <c r="D11" s="346">
        <v>3</v>
      </c>
      <c r="E11" s="17">
        <f>VLOOKUP(D11,'A13 - Tabelle'!$A$6:$F$13,6)</f>
        <v>51730.799999999996</v>
      </c>
      <c r="F11" s="17">
        <f>VLOOKUP(D11,'A13 - Tabelle'!$A$6:$G$13,7)</f>
        <v>38986.4</v>
      </c>
      <c r="G11" s="18">
        <f t="shared" si="0"/>
        <v>36466.4</v>
      </c>
      <c r="H11" s="19"/>
      <c r="I11" s="16">
        <v>3</v>
      </c>
      <c r="J11" s="17">
        <f>VLOOKUP(I11,'E13 - Tabelle'!$A$7:$L$19,11)</f>
        <v>53664.625</v>
      </c>
      <c r="K11" s="20">
        <f>VLOOKUP(I11,'E13 - Tabelle'!$A$7:$L$19,12)</f>
        <v>30360.43</v>
      </c>
      <c r="L11" s="28">
        <f t="shared" si="1"/>
        <v>-6105.970000000001</v>
      </c>
      <c r="M11" s="32">
        <f t="shared" si="14"/>
        <v>-29627.989999999994</v>
      </c>
      <c r="N11" s="8">
        <v>5</v>
      </c>
      <c r="O11" s="8">
        <v>31</v>
      </c>
      <c r="P11" s="47"/>
      <c r="Q11" s="47"/>
      <c r="R11" s="71"/>
      <c r="S11" s="197"/>
      <c r="T11" s="204"/>
      <c r="U11" s="370">
        <f t="shared" si="8"/>
        <v>1.468654214559387</v>
      </c>
      <c r="V11" s="371"/>
      <c r="W11" s="68">
        <v>2</v>
      </c>
      <c r="X11" s="370">
        <f t="shared" si="2"/>
        <v>8.944104166666666</v>
      </c>
      <c r="Y11" s="68"/>
      <c r="Z11" s="372"/>
      <c r="AA11" s="197"/>
      <c r="AB11" s="204"/>
      <c r="AC11" s="205">
        <f t="shared" si="3"/>
        <v>323.025</v>
      </c>
      <c r="AD11" s="205">
        <f t="shared" si="3"/>
        <v>56.418749999999996</v>
      </c>
      <c r="AE11" s="205">
        <f t="shared" si="4"/>
        <v>67.08078124999999</v>
      </c>
      <c r="AF11" s="205">
        <f t="shared" si="4"/>
        <v>415.90084375</v>
      </c>
      <c r="AG11" s="205">
        <f t="shared" si="4"/>
        <v>288.44735937499996</v>
      </c>
      <c r="AH11" s="206">
        <f t="shared" si="9"/>
        <v>1150.872734375</v>
      </c>
      <c r="AI11" s="206">
        <f t="shared" si="5"/>
        <v>4472.052083333333</v>
      </c>
      <c r="AJ11" s="207">
        <f t="shared" si="10"/>
        <v>5622.924817708333</v>
      </c>
      <c r="AK11" s="208"/>
      <c r="AL11" s="221">
        <f t="shared" si="11"/>
        <v>2530.0358333333334</v>
      </c>
      <c r="AM11" s="222">
        <f t="shared" si="6"/>
        <v>3092.8889843749994</v>
      </c>
      <c r="AN11" s="208"/>
      <c r="AO11" s="227">
        <f t="shared" si="7"/>
        <v>323.025</v>
      </c>
      <c r="AP11" s="227">
        <f t="shared" si="7"/>
        <v>56.418749999999996</v>
      </c>
      <c r="AQ11" s="205">
        <f t="shared" si="12"/>
        <v>67.08078124999999</v>
      </c>
      <c r="AR11" s="205">
        <f t="shared" si="12"/>
        <v>415.90084375</v>
      </c>
      <c r="AS11" s="205">
        <f t="shared" si="12"/>
        <v>80.94414270833333</v>
      </c>
      <c r="AT11" s="231">
        <f t="shared" si="13"/>
        <v>943.3695177083332</v>
      </c>
    </row>
    <row r="12" spans="1:46" ht="11.25" customHeight="1">
      <c r="A12" s="8">
        <v>6</v>
      </c>
      <c r="B12" s="8">
        <v>32</v>
      </c>
      <c r="C12" s="8"/>
      <c r="D12" s="346">
        <v>3</v>
      </c>
      <c r="E12" s="17">
        <f>VLOOKUP(D12,'A13 - Tabelle'!$A$6:$F$13,6)</f>
        <v>51730.799999999996</v>
      </c>
      <c r="F12" s="17">
        <f>VLOOKUP(D12,'A13 - Tabelle'!$A$6:$G$13,7)</f>
        <v>38986.4</v>
      </c>
      <c r="G12" s="18">
        <f t="shared" si="0"/>
        <v>36466.4</v>
      </c>
      <c r="H12" s="19"/>
      <c r="I12" s="16">
        <v>3</v>
      </c>
      <c r="J12" s="17">
        <f>VLOOKUP(I12,'E13 - Tabelle'!$A$7:$L$19,11)</f>
        <v>53664.625</v>
      </c>
      <c r="K12" s="20">
        <f>VLOOKUP(I12,'E13 - Tabelle'!$A$7:$L$19,12)</f>
        <v>30360.43</v>
      </c>
      <c r="L12" s="28">
        <f t="shared" si="1"/>
        <v>-6105.970000000001</v>
      </c>
      <c r="M12" s="32">
        <f t="shared" si="14"/>
        <v>-35733.95999999999</v>
      </c>
      <c r="N12" s="8">
        <v>6</v>
      </c>
      <c r="O12" s="8">
        <v>32</v>
      </c>
      <c r="P12" s="47"/>
      <c r="Q12" s="47"/>
      <c r="R12" s="71"/>
      <c r="S12" s="197"/>
      <c r="T12" s="204"/>
      <c r="U12" s="370">
        <f t="shared" si="8"/>
        <v>1.468654214559387</v>
      </c>
      <c r="V12" s="371"/>
      <c r="W12" s="68">
        <v>1.9</v>
      </c>
      <c r="X12" s="370">
        <f t="shared" si="2"/>
        <v>8.496898958333333</v>
      </c>
      <c r="Y12" s="68"/>
      <c r="Z12" s="372"/>
      <c r="AA12" s="197"/>
      <c r="AB12" s="204"/>
      <c r="AC12" s="205">
        <f t="shared" si="3"/>
        <v>323.025</v>
      </c>
      <c r="AD12" s="205">
        <f t="shared" si="3"/>
        <v>56.418749999999996</v>
      </c>
      <c r="AE12" s="205">
        <f t="shared" si="4"/>
        <v>67.08078124999999</v>
      </c>
      <c r="AF12" s="205">
        <f t="shared" si="4"/>
        <v>415.90084375</v>
      </c>
      <c r="AG12" s="205">
        <f t="shared" si="4"/>
        <v>288.44735937499996</v>
      </c>
      <c r="AH12" s="206">
        <f t="shared" si="9"/>
        <v>1150.872734375</v>
      </c>
      <c r="AI12" s="206">
        <f t="shared" si="5"/>
        <v>4472.052083333333</v>
      </c>
      <c r="AJ12" s="207">
        <f t="shared" si="10"/>
        <v>5622.924817708333</v>
      </c>
      <c r="AK12" s="208"/>
      <c r="AL12" s="221">
        <f t="shared" si="11"/>
        <v>2530.0358333333334</v>
      </c>
      <c r="AM12" s="222">
        <f t="shared" si="6"/>
        <v>3092.8889843749994</v>
      </c>
      <c r="AN12" s="208"/>
      <c r="AO12" s="227">
        <f t="shared" si="7"/>
        <v>323.025</v>
      </c>
      <c r="AP12" s="227">
        <f t="shared" si="7"/>
        <v>56.418749999999996</v>
      </c>
      <c r="AQ12" s="205">
        <f t="shared" si="12"/>
        <v>67.08078124999999</v>
      </c>
      <c r="AR12" s="205">
        <f t="shared" si="12"/>
        <v>415.90084375</v>
      </c>
      <c r="AS12" s="205">
        <f t="shared" si="12"/>
        <v>80.94414270833333</v>
      </c>
      <c r="AT12" s="231">
        <f t="shared" si="13"/>
        <v>943.3695177083332</v>
      </c>
    </row>
    <row r="13" spans="1:46" ht="11.25" customHeight="1">
      <c r="A13" s="8">
        <v>7</v>
      </c>
      <c r="B13" s="8">
        <v>33</v>
      </c>
      <c r="C13" s="8"/>
      <c r="D13" s="346">
        <v>3</v>
      </c>
      <c r="E13" s="17">
        <f>VLOOKUP(D13,'A13 - Tabelle'!$A$6:$F$13,6)</f>
        <v>51730.799999999996</v>
      </c>
      <c r="F13" s="17">
        <f>VLOOKUP(D13,'A13 - Tabelle'!$A$6:$G$13,7)</f>
        <v>38986.4</v>
      </c>
      <c r="G13" s="18">
        <f t="shared" si="0"/>
        <v>36466.4</v>
      </c>
      <c r="H13" s="19"/>
      <c r="I13" s="16">
        <v>4</v>
      </c>
      <c r="J13" s="17">
        <f>VLOOKUP(I13,'E13 - Tabelle'!$A$7:$L$19,11)</f>
        <v>58944.37500000001</v>
      </c>
      <c r="K13" s="20">
        <f>VLOOKUP(I13,'E13 - Tabelle'!$A$7:$L$19,12)</f>
        <v>32798.08</v>
      </c>
      <c r="L13" s="28">
        <f t="shared" si="1"/>
        <v>-3668.3199999999997</v>
      </c>
      <c r="M13" s="32">
        <f t="shared" si="14"/>
        <v>-39402.27999999999</v>
      </c>
      <c r="N13" s="8">
        <v>7</v>
      </c>
      <c r="O13" s="8">
        <v>33</v>
      </c>
      <c r="P13" s="47"/>
      <c r="Q13" s="47"/>
      <c r="R13" s="71"/>
      <c r="S13" s="197"/>
      <c r="T13" s="204"/>
      <c r="U13" s="370">
        <f t="shared" si="8"/>
        <v>1.6131465517241381</v>
      </c>
      <c r="V13" s="371"/>
      <c r="W13" s="68">
        <v>1.9</v>
      </c>
      <c r="X13" s="370">
        <f t="shared" si="2"/>
        <v>9.332859375000002</v>
      </c>
      <c r="Y13" s="68"/>
      <c r="Z13" s="372"/>
      <c r="AA13" s="197"/>
      <c r="AB13" s="204"/>
      <c r="AC13" s="205">
        <f t="shared" si="3"/>
        <v>323.025</v>
      </c>
      <c r="AD13" s="205">
        <f t="shared" si="3"/>
        <v>56.418749999999996</v>
      </c>
      <c r="AE13" s="205">
        <f t="shared" si="4"/>
        <v>73.68046875000002</v>
      </c>
      <c r="AF13" s="205">
        <f t="shared" si="4"/>
        <v>456.81890625000005</v>
      </c>
      <c r="AG13" s="205">
        <f t="shared" si="4"/>
        <v>316.8260156250001</v>
      </c>
      <c r="AH13" s="206">
        <f t="shared" si="9"/>
        <v>1226.769140625</v>
      </c>
      <c r="AI13" s="206">
        <f t="shared" si="5"/>
        <v>4912.031250000001</v>
      </c>
      <c r="AJ13" s="207">
        <f t="shared" si="10"/>
        <v>6138.8003906250015</v>
      </c>
      <c r="AK13" s="208"/>
      <c r="AL13" s="221">
        <f t="shared" si="11"/>
        <v>2733.1733333333336</v>
      </c>
      <c r="AM13" s="222">
        <f t="shared" si="6"/>
        <v>3405.627057291668</v>
      </c>
      <c r="AN13" s="208"/>
      <c r="AO13" s="227">
        <f t="shared" si="7"/>
        <v>323.025</v>
      </c>
      <c r="AP13" s="227">
        <f t="shared" si="7"/>
        <v>56.418749999999996</v>
      </c>
      <c r="AQ13" s="205">
        <f t="shared" si="12"/>
        <v>73.68046875000002</v>
      </c>
      <c r="AR13" s="205">
        <f t="shared" si="12"/>
        <v>456.81890625000005</v>
      </c>
      <c r="AS13" s="205">
        <f t="shared" si="12"/>
        <v>88.90776562500002</v>
      </c>
      <c r="AT13" s="231">
        <f t="shared" si="13"/>
        <v>998.850890625</v>
      </c>
    </row>
    <row r="14" spans="1:46" ht="11.25" customHeight="1">
      <c r="A14" s="8">
        <v>8</v>
      </c>
      <c r="B14" s="8">
        <v>34</v>
      </c>
      <c r="C14" s="8"/>
      <c r="D14" s="346">
        <v>4</v>
      </c>
      <c r="E14" s="17">
        <f>VLOOKUP(D14,'A13 - Tabelle'!$A$6:$F$13,6)</f>
        <v>54066.240000000005</v>
      </c>
      <c r="F14" s="17">
        <f>VLOOKUP(D14,'A13 - Tabelle'!$A$6:$G$13,7)</f>
        <v>40332.25</v>
      </c>
      <c r="G14" s="18">
        <f t="shared" si="0"/>
        <v>37812.25</v>
      </c>
      <c r="H14" s="19"/>
      <c r="I14" s="16">
        <v>4</v>
      </c>
      <c r="J14" s="17">
        <f>VLOOKUP(I14,'E13 - Tabelle'!$A$7:$L$19,11)</f>
        <v>58944.37500000001</v>
      </c>
      <c r="K14" s="20">
        <f>VLOOKUP(I14,'E13 - Tabelle'!$A$7:$L$19,12)</f>
        <v>32798.08</v>
      </c>
      <c r="L14" s="28">
        <f t="shared" si="1"/>
        <v>-5014.169999999998</v>
      </c>
      <c r="M14" s="32">
        <f t="shared" si="14"/>
        <v>-44416.44999999999</v>
      </c>
      <c r="N14" s="8">
        <v>8</v>
      </c>
      <c r="O14" s="8">
        <v>34</v>
      </c>
      <c r="P14" s="47"/>
      <c r="Q14" s="47"/>
      <c r="R14" s="71"/>
      <c r="S14" s="197"/>
      <c r="T14" s="204"/>
      <c r="U14" s="370">
        <f t="shared" si="8"/>
        <v>1.6131465517241381</v>
      </c>
      <c r="V14" s="371"/>
      <c r="W14" s="68">
        <v>1.8</v>
      </c>
      <c r="X14" s="370">
        <f t="shared" si="2"/>
        <v>8.841656250000002</v>
      </c>
      <c r="Y14" s="68"/>
      <c r="Z14" s="372"/>
      <c r="AA14" s="197"/>
      <c r="AB14" s="204"/>
      <c r="AC14" s="205">
        <f t="shared" si="3"/>
        <v>323.025</v>
      </c>
      <c r="AD14" s="205">
        <f t="shared" si="3"/>
        <v>56.418749999999996</v>
      </c>
      <c r="AE14" s="205">
        <f t="shared" si="4"/>
        <v>73.68046875000002</v>
      </c>
      <c r="AF14" s="205">
        <f t="shared" si="4"/>
        <v>456.81890625000005</v>
      </c>
      <c r="AG14" s="205">
        <f t="shared" si="4"/>
        <v>316.8260156250001</v>
      </c>
      <c r="AH14" s="206">
        <f t="shared" si="9"/>
        <v>1226.769140625</v>
      </c>
      <c r="AI14" s="206">
        <f t="shared" si="5"/>
        <v>4912.031250000001</v>
      </c>
      <c r="AJ14" s="207">
        <f t="shared" si="10"/>
        <v>6138.8003906250015</v>
      </c>
      <c r="AK14" s="208"/>
      <c r="AL14" s="221">
        <f t="shared" si="11"/>
        <v>2733.1733333333336</v>
      </c>
      <c r="AM14" s="222">
        <f t="shared" si="6"/>
        <v>3405.627057291668</v>
      </c>
      <c r="AN14" s="208"/>
      <c r="AO14" s="227">
        <f t="shared" si="7"/>
        <v>323.025</v>
      </c>
      <c r="AP14" s="227">
        <f t="shared" si="7"/>
        <v>56.418749999999996</v>
      </c>
      <c r="AQ14" s="205">
        <f t="shared" si="12"/>
        <v>73.68046875000002</v>
      </c>
      <c r="AR14" s="205">
        <f t="shared" si="12"/>
        <v>456.81890625000005</v>
      </c>
      <c r="AS14" s="205">
        <f t="shared" si="12"/>
        <v>88.90776562500002</v>
      </c>
      <c r="AT14" s="231">
        <f t="shared" si="13"/>
        <v>998.850890625</v>
      </c>
    </row>
    <row r="15" spans="1:46" ht="11.25" customHeight="1">
      <c r="A15" s="8">
        <v>9</v>
      </c>
      <c r="B15" s="8">
        <v>35</v>
      </c>
      <c r="C15" s="8"/>
      <c r="D15" s="346">
        <v>4</v>
      </c>
      <c r="E15" s="17">
        <f>VLOOKUP(D15,'A13 - Tabelle'!$A$6:$F$13,6)</f>
        <v>54066.240000000005</v>
      </c>
      <c r="F15" s="17">
        <f>VLOOKUP(D15,'A13 - Tabelle'!$A$6:$G$13,7)</f>
        <v>40332.25</v>
      </c>
      <c r="G15" s="18">
        <f t="shared" si="0"/>
        <v>37812.25</v>
      </c>
      <c r="H15" s="19"/>
      <c r="I15" s="16">
        <v>4</v>
      </c>
      <c r="J15" s="17">
        <f>VLOOKUP(I15,'E13 - Tabelle'!$A$7:$L$19,11)</f>
        <v>58944.37500000001</v>
      </c>
      <c r="K15" s="20">
        <f>VLOOKUP(I15,'E13 - Tabelle'!$A$7:$L$19,12)</f>
        <v>32798.08</v>
      </c>
      <c r="L15" s="28">
        <f t="shared" si="1"/>
        <v>-5014.169999999998</v>
      </c>
      <c r="M15" s="32">
        <f t="shared" si="14"/>
        <v>-49430.61999999999</v>
      </c>
      <c r="N15" s="8">
        <v>9</v>
      </c>
      <c r="O15" s="8">
        <v>35</v>
      </c>
      <c r="P15" s="47"/>
      <c r="Q15" s="47"/>
      <c r="R15" s="71"/>
      <c r="S15" s="197"/>
      <c r="T15" s="204"/>
      <c r="U15" s="370">
        <f t="shared" si="8"/>
        <v>1.6131465517241381</v>
      </c>
      <c r="V15" s="371"/>
      <c r="W15" s="68">
        <v>1.7</v>
      </c>
      <c r="X15" s="370">
        <f t="shared" si="2"/>
        <v>8.350453125000001</v>
      </c>
      <c r="Y15" s="68"/>
      <c r="Z15" s="372"/>
      <c r="AA15" s="197"/>
      <c r="AB15" s="204"/>
      <c r="AC15" s="205">
        <f t="shared" si="3"/>
        <v>323.025</v>
      </c>
      <c r="AD15" s="205">
        <f t="shared" si="3"/>
        <v>56.418749999999996</v>
      </c>
      <c r="AE15" s="205">
        <f t="shared" si="4"/>
        <v>73.68046875000002</v>
      </c>
      <c r="AF15" s="205">
        <f t="shared" si="4"/>
        <v>456.81890625000005</v>
      </c>
      <c r="AG15" s="205">
        <f t="shared" si="4"/>
        <v>316.8260156250001</v>
      </c>
      <c r="AH15" s="206">
        <f t="shared" si="9"/>
        <v>1226.769140625</v>
      </c>
      <c r="AI15" s="206">
        <f t="shared" si="5"/>
        <v>4912.031250000001</v>
      </c>
      <c r="AJ15" s="207">
        <f t="shared" si="10"/>
        <v>6138.8003906250015</v>
      </c>
      <c r="AK15" s="208"/>
      <c r="AL15" s="221">
        <f t="shared" si="11"/>
        <v>2733.1733333333336</v>
      </c>
      <c r="AM15" s="222">
        <f t="shared" si="6"/>
        <v>3405.627057291668</v>
      </c>
      <c r="AN15" s="208"/>
      <c r="AO15" s="227">
        <f t="shared" si="7"/>
        <v>323.025</v>
      </c>
      <c r="AP15" s="227">
        <f t="shared" si="7"/>
        <v>56.418749999999996</v>
      </c>
      <c r="AQ15" s="205">
        <f t="shared" si="12"/>
        <v>73.68046875000002</v>
      </c>
      <c r="AR15" s="205">
        <f t="shared" si="12"/>
        <v>456.81890625000005</v>
      </c>
      <c r="AS15" s="205">
        <f t="shared" si="12"/>
        <v>88.90776562500002</v>
      </c>
      <c r="AT15" s="231">
        <f t="shared" si="13"/>
        <v>998.850890625</v>
      </c>
    </row>
    <row r="16" spans="1:46" ht="11.25" customHeight="1">
      <c r="A16" s="8">
        <v>10</v>
      </c>
      <c r="B16" s="8">
        <v>36</v>
      </c>
      <c r="C16" s="8"/>
      <c r="D16" s="346">
        <v>4</v>
      </c>
      <c r="E16" s="17">
        <f>VLOOKUP(D16,'A13 - Tabelle'!$A$6:$F$13,6)</f>
        <v>54066.240000000005</v>
      </c>
      <c r="F16" s="17">
        <f>VLOOKUP(D16,'A13 - Tabelle'!$A$6:$G$13,7)</f>
        <v>40332.25</v>
      </c>
      <c r="G16" s="18">
        <f t="shared" si="0"/>
        <v>37812.25</v>
      </c>
      <c r="H16" s="19"/>
      <c r="I16" s="16">
        <v>4</v>
      </c>
      <c r="J16" s="17">
        <f>VLOOKUP(I16,'E13 - Tabelle'!$A$7:$L$19,11)</f>
        <v>58944.37500000001</v>
      </c>
      <c r="K16" s="20">
        <f>VLOOKUP(I16,'E13 - Tabelle'!$A$7:$L$19,12)</f>
        <v>32798.08</v>
      </c>
      <c r="L16" s="28">
        <f t="shared" si="1"/>
        <v>-5014.169999999998</v>
      </c>
      <c r="M16" s="32">
        <f t="shared" si="14"/>
        <v>-54444.789999999986</v>
      </c>
      <c r="N16" s="8">
        <v>10</v>
      </c>
      <c r="O16" s="8">
        <v>36</v>
      </c>
      <c r="P16" s="47"/>
      <c r="Q16" s="47"/>
      <c r="R16" s="71"/>
      <c r="S16" s="197"/>
      <c r="T16" s="204"/>
      <c r="U16" s="370">
        <f t="shared" si="8"/>
        <v>1.6131465517241381</v>
      </c>
      <c r="V16" s="371"/>
      <c r="W16" s="68">
        <v>1.7</v>
      </c>
      <c r="X16" s="370">
        <f t="shared" si="2"/>
        <v>8.350453125000001</v>
      </c>
      <c r="Y16" s="68"/>
      <c r="Z16" s="372"/>
      <c r="AA16" s="197"/>
      <c r="AB16" s="204"/>
      <c r="AC16" s="205">
        <f t="shared" si="3"/>
        <v>323.025</v>
      </c>
      <c r="AD16" s="205">
        <f t="shared" si="3"/>
        <v>56.418749999999996</v>
      </c>
      <c r="AE16" s="205">
        <f t="shared" si="4"/>
        <v>73.68046875000002</v>
      </c>
      <c r="AF16" s="205">
        <f t="shared" si="4"/>
        <v>456.81890625000005</v>
      </c>
      <c r="AG16" s="205">
        <f t="shared" si="4"/>
        <v>316.8260156250001</v>
      </c>
      <c r="AH16" s="206">
        <f t="shared" si="9"/>
        <v>1226.769140625</v>
      </c>
      <c r="AI16" s="206">
        <f t="shared" si="5"/>
        <v>4912.031250000001</v>
      </c>
      <c r="AJ16" s="207">
        <f t="shared" si="10"/>
        <v>6138.8003906250015</v>
      </c>
      <c r="AK16" s="208"/>
      <c r="AL16" s="221">
        <f t="shared" si="11"/>
        <v>2733.1733333333336</v>
      </c>
      <c r="AM16" s="222">
        <f t="shared" si="6"/>
        <v>3405.627057291668</v>
      </c>
      <c r="AN16" s="208"/>
      <c r="AO16" s="227">
        <f t="shared" si="7"/>
        <v>323.025</v>
      </c>
      <c r="AP16" s="227">
        <f t="shared" si="7"/>
        <v>56.418749999999996</v>
      </c>
      <c r="AQ16" s="205">
        <f t="shared" si="12"/>
        <v>73.68046875000002</v>
      </c>
      <c r="AR16" s="205">
        <f t="shared" si="12"/>
        <v>456.81890625000005</v>
      </c>
      <c r="AS16" s="205">
        <f t="shared" si="12"/>
        <v>88.90776562500002</v>
      </c>
      <c r="AT16" s="231">
        <f t="shared" si="13"/>
        <v>998.850890625</v>
      </c>
    </row>
    <row r="17" spans="1:46" ht="11.25" customHeight="1">
      <c r="A17" s="8">
        <v>11</v>
      </c>
      <c r="B17" s="8">
        <v>37</v>
      </c>
      <c r="C17" s="8"/>
      <c r="D17" s="346">
        <v>5</v>
      </c>
      <c r="E17" s="17">
        <f>VLOOKUP(D17,'A13 - Tabelle'!$A$6:$F$13,6)</f>
        <v>56257.68000000001</v>
      </c>
      <c r="F17" s="17">
        <f>VLOOKUP(D17,'A13 - Tabelle'!$A$6:$G$13,7)</f>
        <v>41572.08</v>
      </c>
      <c r="G17" s="18">
        <f t="shared" si="0"/>
        <v>39052.08</v>
      </c>
      <c r="H17" s="19"/>
      <c r="I17" s="16">
        <v>5</v>
      </c>
      <c r="J17" s="17">
        <f>VLOOKUP(I17,'E13 - Tabelle'!$A$7:$L$19,11)</f>
        <v>66242.875</v>
      </c>
      <c r="K17" s="20">
        <f>VLOOKUP(I17,'E13 - Tabelle'!$A$7:$L$19,12)</f>
        <v>35970.94</v>
      </c>
      <c r="L17" s="28">
        <f t="shared" si="1"/>
        <v>-3081.1399999999994</v>
      </c>
      <c r="M17" s="32">
        <f t="shared" si="14"/>
        <v>-57525.929999999986</v>
      </c>
      <c r="N17" s="8">
        <v>11</v>
      </c>
      <c r="O17" s="8">
        <v>37</v>
      </c>
      <c r="P17" s="47"/>
      <c r="Q17" s="47"/>
      <c r="R17" s="71"/>
      <c r="S17" s="197"/>
      <c r="T17" s="204"/>
      <c r="U17" s="370">
        <f t="shared" si="8"/>
        <v>1.8128865626710455</v>
      </c>
      <c r="V17" s="371"/>
      <c r="W17" s="68">
        <v>1.6</v>
      </c>
      <c r="X17" s="370">
        <f t="shared" si="2"/>
        <v>8.832383333333333</v>
      </c>
      <c r="Y17" s="68"/>
      <c r="Z17" s="372"/>
      <c r="AA17" s="197"/>
      <c r="AB17" s="204"/>
      <c r="AC17" s="205">
        <f t="shared" si="3"/>
        <v>323.025</v>
      </c>
      <c r="AD17" s="205">
        <f t="shared" si="3"/>
        <v>56.418749999999996</v>
      </c>
      <c r="AE17" s="205">
        <f t="shared" si="4"/>
        <v>82.80359374999999</v>
      </c>
      <c r="AF17" s="205">
        <f t="shared" si="4"/>
        <v>513.38228125</v>
      </c>
      <c r="AG17" s="205">
        <f t="shared" si="4"/>
        <v>356.055453125</v>
      </c>
      <c r="AH17" s="206">
        <f t="shared" si="9"/>
        <v>1331.685078125</v>
      </c>
      <c r="AI17" s="206">
        <f t="shared" si="5"/>
        <v>5520.239583333333</v>
      </c>
      <c r="AJ17" s="207">
        <f t="shared" si="10"/>
        <v>6851.9246614583335</v>
      </c>
      <c r="AK17" s="208"/>
      <c r="AL17" s="221">
        <f t="shared" si="11"/>
        <v>2997.5783333333334</v>
      </c>
      <c r="AM17" s="222">
        <f t="shared" si="6"/>
        <v>3854.346328125</v>
      </c>
      <c r="AN17" s="208"/>
      <c r="AO17" s="227">
        <f t="shared" si="7"/>
        <v>323.025</v>
      </c>
      <c r="AP17" s="227">
        <f t="shared" si="7"/>
        <v>56.418749999999996</v>
      </c>
      <c r="AQ17" s="205">
        <f t="shared" si="12"/>
        <v>82.80359374999999</v>
      </c>
      <c r="AR17" s="205">
        <f t="shared" si="12"/>
        <v>513.38228125</v>
      </c>
      <c r="AS17" s="205">
        <f t="shared" si="12"/>
        <v>99.91633645833333</v>
      </c>
      <c r="AT17" s="231">
        <f t="shared" si="13"/>
        <v>1075.5459614583333</v>
      </c>
    </row>
    <row r="18" spans="1:46" ht="11.25" customHeight="1">
      <c r="A18" s="8">
        <v>12</v>
      </c>
      <c r="B18" s="8">
        <v>38</v>
      </c>
      <c r="C18" s="8"/>
      <c r="D18" s="346">
        <v>5</v>
      </c>
      <c r="E18" s="17">
        <f>VLOOKUP(D18,'A13 - Tabelle'!$A$6:$F$13,6)</f>
        <v>56257.68000000001</v>
      </c>
      <c r="F18" s="17">
        <f>VLOOKUP(D18,'A13 - Tabelle'!$A$6:$G$13,7)</f>
        <v>41572.08</v>
      </c>
      <c r="G18" s="18">
        <f t="shared" si="0"/>
        <v>39052.08</v>
      </c>
      <c r="H18" s="19"/>
      <c r="I18" s="16">
        <v>5</v>
      </c>
      <c r="J18" s="17">
        <f>VLOOKUP(I18,'E13 - Tabelle'!$A$7:$L$19,11)</f>
        <v>66242.875</v>
      </c>
      <c r="K18" s="20">
        <f>VLOOKUP(I18,'E13 - Tabelle'!$A$7:$L$19,12)</f>
        <v>35970.94</v>
      </c>
      <c r="L18" s="28">
        <f t="shared" si="1"/>
        <v>-3081.1399999999994</v>
      </c>
      <c r="M18" s="32">
        <f t="shared" si="14"/>
        <v>-60607.069999999985</v>
      </c>
      <c r="N18" s="8">
        <v>12</v>
      </c>
      <c r="O18" s="8">
        <v>38</v>
      </c>
      <c r="P18" s="47"/>
      <c r="Q18" s="47"/>
      <c r="R18" s="71"/>
      <c r="S18" s="197"/>
      <c r="T18" s="204"/>
      <c r="U18" s="370">
        <f t="shared" si="8"/>
        <v>1.8128865626710455</v>
      </c>
      <c r="V18" s="371"/>
      <c r="W18" s="68">
        <v>1.6</v>
      </c>
      <c r="X18" s="370">
        <f t="shared" si="2"/>
        <v>8.832383333333333</v>
      </c>
      <c r="Y18" s="68"/>
      <c r="Z18" s="372"/>
      <c r="AA18" s="197"/>
      <c r="AB18" s="204"/>
      <c r="AC18" s="205">
        <f t="shared" si="3"/>
        <v>323.025</v>
      </c>
      <c r="AD18" s="205">
        <f t="shared" si="3"/>
        <v>56.418749999999996</v>
      </c>
      <c r="AE18" s="205">
        <f t="shared" si="4"/>
        <v>82.80359374999999</v>
      </c>
      <c r="AF18" s="205">
        <f t="shared" si="4"/>
        <v>513.38228125</v>
      </c>
      <c r="AG18" s="205">
        <f t="shared" si="4"/>
        <v>356.055453125</v>
      </c>
      <c r="AH18" s="206">
        <f t="shared" si="9"/>
        <v>1331.685078125</v>
      </c>
      <c r="AI18" s="206">
        <f t="shared" si="5"/>
        <v>5520.239583333333</v>
      </c>
      <c r="AJ18" s="207">
        <f t="shared" si="10"/>
        <v>6851.9246614583335</v>
      </c>
      <c r="AK18" s="208"/>
      <c r="AL18" s="221">
        <f t="shared" si="11"/>
        <v>2997.5783333333334</v>
      </c>
      <c r="AM18" s="222">
        <f t="shared" si="6"/>
        <v>3854.346328125</v>
      </c>
      <c r="AN18" s="208"/>
      <c r="AO18" s="227">
        <f t="shared" si="7"/>
        <v>323.025</v>
      </c>
      <c r="AP18" s="227">
        <f t="shared" si="7"/>
        <v>56.418749999999996</v>
      </c>
      <c r="AQ18" s="205">
        <f t="shared" si="12"/>
        <v>82.80359374999999</v>
      </c>
      <c r="AR18" s="205">
        <f t="shared" si="12"/>
        <v>513.38228125</v>
      </c>
      <c r="AS18" s="205">
        <f t="shared" si="12"/>
        <v>99.91633645833333</v>
      </c>
      <c r="AT18" s="231">
        <f t="shared" si="13"/>
        <v>1075.5459614583333</v>
      </c>
    </row>
    <row r="19" spans="1:46" ht="11.25" customHeight="1">
      <c r="A19" s="8">
        <v>13</v>
      </c>
      <c r="B19" s="8">
        <v>39</v>
      </c>
      <c r="C19" s="8"/>
      <c r="D19" s="346">
        <v>5</v>
      </c>
      <c r="E19" s="17">
        <f>VLOOKUP(D19,'A13 - Tabelle'!$A$6:$F$13,6)</f>
        <v>56257.68000000001</v>
      </c>
      <c r="F19" s="17">
        <f>VLOOKUP(D19,'A13 - Tabelle'!$A$6:$G$13,7)</f>
        <v>41572.08</v>
      </c>
      <c r="G19" s="18">
        <f t="shared" si="0"/>
        <v>39052.08</v>
      </c>
      <c r="H19" s="19"/>
      <c r="I19" s="16">
        <v>5</v>
      </c>
      <c r="J19" s="17">
        <f>VLOOKUP(I19,'E13 - Tabelle'!$A$7:$L$19,11)</f>
        <v>66242.875</v>
      </c>
      <c r="K19" s="20">
        <f>VLOOKUP(I19,'E13 - Tabelle'!$A$7:$L$19,12)</f>
        <v>35970.94</v>
      </c>
      <c r="L19" s="28">
        <f t="shared" si="1"/>
        <v>-3081.1399999999994</v>
      </c>
      <c r="M19" s="32">
        <f t="shared" si="14"/>
        <v>-63688.209999999985</v>
      </c>
      <c r="N19" s="8">
        <v>13</v>
      </c>
      <c r="O19" s="8">
        <v>39</v>
      </c>
      <c r="P19" s="47"/>
      <c r="Q19" s="47"/>
      <c r="R19" s="71"/>
      <c r="S19" s="197"/>
      <c r="T19" s="204"/>
      <c r="U19" s="370">
        <f t="shared" si="8"/>
        <v>1.8128865626710455</v>
      </c>
      <c r="V19" s="371"/>
      <c r="W19" s="68">
        <v>1.6</v>
      </c>
      <c r="X19" s="370">
        <f t="shared" si="2"/>
        <v>8.832383333333333</v>
      </c>
      <c r="Y19" s="68"/>
      <c r="Z19" s="372"/>
      <c r="AA19" s="197"/>
      <c r="AB19" s="204"/>
      <c r="AC19" s="205">
        <f t="shared" si="3"/>
        <v>323.025</v>
      </c>
      <c r="AD19" s="205">
        <f t="shared" si="3"/>
        <v>56.418749999999996</v>
      </c>
      <c r="AE19" s="205">
        <f t="shared" si="4"/>
        <v>82.80359374999999</v>
      </c>
      <c r="AF19" s="205">
        <f t="shared" si="4"/>
        <v>513.38228125</v>
      </c>
      <c r="AG19" s="205">
        <f t="shared" si="4"/>
        <v>356.055453125</v>
      </c>
      <c r="AH19" s="206">
        <f t="shared" si="9"/>
        <v>1331.685078125</v>
      </c>
      <c r="AI19" s="206">
        <f t="shared" si="5"/>
        <v>5520.239583333333</v>
      </c>
      <c r="AJ19" s="207">
        <f t="shared" si="10"/>
        <v>6851.9246614583335</v>
      </c>
      <c r="AK19" s="208"/>
      <c r="AL19" s="221">
        <f t="shared" si="11"/>
        <v>2997.5783333333334</v>
      </c>
      <c r="AM19" s="222">
        <f t="shared" si="6"/>
        <v>3854.346328125</v>
      </c>
      <c r="AN19" s="208"/>
      <c r="AO19" s="227">
        <f t="shared" si="7"/>
        <v>323.025</v>
      </c>
      <c r="AP19" s="227">
        <f t="shared" si="7"/>
        <v>56.418749999999996</v>
      </c>
      <c r="AQ19" s="205">
        <f t="shared" si="12"/>
        <v>82.80359374999999</v>
      </c>
      <c r="AR19" s="205">
        <f t="shared" si="12"/>
        <v>513.38228125</v>
      </c>
      <c r="AS19" s="205">
        <f t="shared" si="12"/>
        <v>99.91633645833333</v>
      </c>
      <c r="AT19" s="231">
        <f t="shared" si="13"/>
        <v>1075.5459614583333</v>
      </c>
    </row>
    <row r="20" spans="1:46" ht="11.25" customHeight="1">
      <c r="A20" s="8">
        <v>14</v>
      </c>
      <c r="B20" s="8">
        <v>40</v>
      </c>
      <c r="C20" s="8"/>
      <c r="D20" s="346">
        <v>5</v>
      </c>
      <c r="E20" s="17">
        <f>VLOOKUP(D20,'A13 - Tabelle'!$A$6:$F$13,6)</f>
        <v>56257.68000000001</v>
      </c>
      <c r="F20" s="17">
        <f>VLOOKUP(D20,'A13 - Tabelle'!$A$6:$G$13,7)</f>
        <v>41572.08</v>
      </c>
      <c r="G20" s="18">
        <f t="shared" si="0"/>
        <v>39052.08</v>
      </c>
      <c r="H20" s="19"/>
      <c r="I20" s="16">
        <v>5</v>
      </c>
      <c r="J20" s="17">
        <f>VLOOKUP(I20,'E13 - Tabelle'!$A$7:$L$19,11)</f>
        <v>66242.875</v>
      </c>
      <c r="K20" s="20">
        <f>VLOOKUP(I20,'E13 - Tabelle'!$A$7:$L$19,12)</f>
        <v>35970.94</v>
      </c>
      <c r="L20" s="28">
        <f t="shared" si="1"/>
        <v>-3081.1399999999994</v>
      </c>
      <c r="M20" s="32">
        <f t="shared" si="14"/>
        <v>-66769.34999999998</v>
      </c>
      <c r="N20" s="8">
        <v>14</v>
      </c>
      <c r="O20" s="8">
        <v>40</v>
      </c>
      <c r="P20" s="47"/>
      <c r="Q20" s="47"/>
      <c r="R20" s="71"/>
      <c r="S20" s="197"/>
      <c r="T20" s="204"/>
      <c r="U20" s="370">
        <f t="shared" si="8"/>
        <v>1.8128865626710455</v>
      </c>
      <c r="V20" s="371"/>
      <c r="W20" s="68">
        <v>1.5</v>
      </c>
      <c r="X20" s="370">
        <f t="shared" si="2"/>
        <v>8.280359375</v>
      </c>
      <c r="Y20" s="68"/>
      <c r="Z20" s="372"/>
      <c r="AA20" s="197"/>
      <c r="AB20" s="204"/>
      <c r="AC20" s="205">
        <f t="shared" si="3"/>
        <v>323.025</v>
      </c>
      <c r="AD20" s="205">
        <f t="shared" si="3"/>
        <v>56.418749999999996</v>
      </c>
      <c r="AE20" s="205">
        <f t="shared" si="4"/>
        <v>82.80359374999999</v>
      </c>
      <c r="AF20" s="205">
        <f t="shared" si="4"/>
        <v>513.38228125</v>
      </c>
      <c r="AG20" s="205">
        <f t="shared" si="4"/>
        <v>356.055453125</v>
      </c>
      <c r="AH20" s="206">
        <f t="shared" si="9"/>
        <v>1331.685078125</v>
      </c>
      <c r="AI20" s="206">
        <f t="shared" si="5"/>
        <v>5520.239583333333</v>
      </c>
      <c r="AJ20" s="207">
        <f t="shared" si="10"/>
        <v>6851.9246614583335</v>
      </c>
      <c r="AK20" s="208"/>
      <c r="AL20" s="221">
        <f t="shared" si="11"/>
        <v>2997.5783333333334</v>
      </c>
      <c r="AM20" s="222">
        <f t="shared" si="6"/>
        <v>3854.346328125</v>
      </c>
      <c r="AN20" s="208"/>
      <c r="AO20" s="227">
        <f t="shared" si="7"/>
        <v>323.025</v>
      </c>
      <c r="AP20" s="227">
        <f t="shared" si="7"/>
        <v>56.418749999999996</v>
      </c>
      <c r="AQ20" s="205">
        <f t="shared" si="12"/>
        <v>82.80359374999999</v>
      </c>
      <c r="AR20" s="205">
        <f t="shared" si="12"/>
        <v>513.38228125</v>
      </c>
      <c r="AS20" s="205">
        <f t="shared" si="12"/>
        <v>99.91633645833333</v>
      </c>
      <c r="AT20" s="231">
        <f t="shared" si="13"/>
        <v>1075.5459614583333</v>
      </c>
    </row>
    <row r="21" spans="1:46" ht="11.25" customHeight="1">
      <c r="A21" s="8">
        <v>15</v>
      </c>
      <c r="B21" s="8">
        <v>41</v>
      </c>
      <c r="C21" s="8"/>
      <c r="D21" s="346">
        <v>6</v>
      </c>
      <c r="E21" s="17">
        <f>VLOOKUP(D21,'A13 - Tabelle'!$A$6:$F$13,6)</f>
        <v>57295.799999999996</v>
      </c>
      <c r="F21" s="17">
        <f>VLOOKUP(D21,'A13 - Tabelle'!$A$6:$G$13,7)</f>
        <v>42151.28</v>
      </c>
      <c r="G21" s="18">
        <f t="shared" si="0"/>
        <v>39631.28</v>
      </c>
      <c r="H21" s="19"/>
      <c r="I21" s="16">
        <v>5</v>
      </c>
      <c r="J21" s="17">
        <f>VLOOKUP(I21,'E13 - Tabelle'!$A$7:$L$19,11)</f>
        <v>66242.875</v>
      </c>
      <c r="K21" s="20">
        <f>VLOOKUP(I21,'E13 - Tabelle'!$A$7:$L$19,12)</f>
        <v>35970.94</v>
      </c>
      <c r="L21" s="28">
        <f t="shared" si="1"/>
        <v>-3660.3399999999965</v>
      </c>
      <c r="M21" s="32">
        <f t="shared" si="14"/>
        <v>-70429.68999999997</v>
      </c>
      <c r="N21" s="8">
        <v>15</v>
      </c>
      <c r="O21" s="8">
        <v>41</v>
      </c>
      <c r="P21" s="47"/>
      <c r="Q21" s="47"/>
      <c r="R21" s="71"/>
      <c r="S21" s="197"/>
      <c r="T21" s="204"/>
      <c r="U21" s="370">
        <f t="shared" si="8"/>
        <v>1.8128865626710455</v>
      </c>
      <c r="V21" s="371"/>
      <c r="W21" s="68">
        <v>1.5</v>
      </c>
      <c r="X21" s="370">
        <f t="shared" si="2"/>
        <v>8.280359375</v>
      </c>
      <c r="Y21" s="68"/>
      <c r="Z21" s="372"/>
      <c r="AA21" s="197"/>
      <c r="AB21" s="204"/>
      <c r="AC21" s="205">
        <f t="shared" si="3"/>
        <v>323.025</v>
      </c>
      <c r="AD21" s="205">
        <f t="shared" si="3"/>
        <v>56.418749999999996</v>
      </c>
      <c r="AE21" s="205">
        <f t="shared" si="4"/>
        <v>82.80359374999999</v>
      </c>
      <c r="AF21" s="205">
        <f t="shared" si="4"/>
        <v>513.38228125</v>
      </c>
      <c r="AG21" s="205">
        <f t="shared" si="4"/>
        <v>356.055453125</v>
      </c>
      <c r="AH21" s="206">
        <f t="shared" si="9"/>
        <v>1331.685078125</v>
      </c>
      <c r="AI21" s="206">
        <f t="shared" si="5"/>
        <v>5520.239583333333</v>
      </c>
      <c r="AJ21" s="207">
        <f t="shared" si="10"/>
        <v>6851.9246614583335</v>
      </c>
      <c r="AK21" s="208"/>
      <c r="AL21" s="221">
        <f t="shared" si="11"/>
        <v>2997.5783333333334</v>
      </c>
      <c r="AM21" s="222">
        <f t="shared" si="6"/>
        <v>3854.346328125</v>
      </c>
      <c r="AN21" s="208"/>
      <c r="AO21" s="227">
        <f t="shared" si="7"/>
        <v>323.025</v>
      </c>
      <c r="AP21" s="227">
        <f t="shared" si="7"/>
        <v>56.418749999999996</v>
      </c>
      <c r="AQ21" s="205">
        <f t="shared" si="12"/>
        <v>82.80359374999999</v>
      </c>
      <c r="AR21" s="205">
        <f t="shared" si="12"/>
        <v>513.38228125</v>
      </c>
      <c r="AS21" s="205">
        <f t="shared" si="12"/>
        <v>99.91633645833333</v>
      </c>
      <c r="AT21" s="231">
        <f t="shared" si="13"/>
        <v>1075.5459614583333</v>
      </c>
    </row>
    <row r="22" spans="1:46" ht="11.25" customHeight="1">
      <c r="A22" s="8">
        <v>16</v>
      </c>
      <c r="B22" s="8">
        <v>42</v>
      </c>
      <c r="C22" s="8"/>
      <c r="D22" s="346">
        <v>6</v>
      </c>
      <c r="E22" s="17">
        <f>VLOOKUP(D22,'A13 - Tabelle'!$A$6:$F$13,6)</f>
        <v>57295.799999999996</v>
      </c>
      <c r="F22" s="17">
        <f>VLOOKUP(D22,'A13 - Tabelle'!$A$6:$G$13,7)</f>
        <v>42151.28</v>
      </c>
      <c r="G22" s="18">
        <f t="shared" si="0"/>
        <v>39631.28</v>
      </c>
      <c r="H22" s="19"/>
      <c r="I22" s="16">
        <v>6</v>
      </c>
      <c r="J22" s="17">
        <f>VLOOKUP(I22,'E13 - Tabelle'!$A$7:$L$19,11)</f>
        <v>68230.125</v>
      </c>
      <c r="K22" s="20">
        <f>VLOOKUP(I22,'E13 - Tabelle'!$A$7:$L$19,12)</f>
        <v>36819.16</v>
      </c>
      <c r="L22" s="28">
        <f t="shared" si="1"/>
        <v>-2812.1199999999953</v>
      </c>
      <c r="M22" s="32">
        <f t="shared" si="14"/>
        <v>-73241.80999999997</v>
      </c>
      <c r="N22" s="8">
        <v>16</v>
      </c>
      <c r="O22" s="8">
        <v>42</v>
      </c>
      <c r="P22" s="47"/>
      <c r="Q22" s="47"/>
      <c r="R22" s="71"/>
      <c r="S22" s="197"/>
      <c r="T22" s="204"/>
      <c r="U22" s="370">
        <f t="shared" si="8"/>
        <v>1.8672721674876847</v>
      </c>
      <c r="V22" s="371"/>
      <c r="W22" s="68">
        <v>1.4</v>
      </c>
      <c r="X22" s="370">
        <f t="shared" si="2"/>
        <v>7.96018125</v>
      </c>
      <c r="Y22" s="68"/>
      <c r="Z22" s="372"/>
      <c r="AA22" s="197"/>
      <c r="AB22" s="204"/>
      <c r="AC22" s="205">
        <f t="shared" si="3"/>
        <v>323.025</v>
      </c>
      <c r="AD22" s="205">
        <f t="shared" si="3"/>
        <v>56.418749999999996</v>
      </c>
      <c r="AE22" s="205">
        <f t="shared" si="4"/>
        <v>85.28765625</v>
      </c>
      <c r="AF22" s="205">
        <f t="shared" si="4"/>
        <v>528.78346875</v>
      </c>
      <c r="AG22" s="205">
        <f t="shared" si="4"/>
        <v>366.736921875</v>
      </c>
      <c r="AH22" s="206">
        <f t="shared" si="9"/>
        <v>1360.2517968749999</v>
      </c>
      <c r="AI22" s="206">
        <f t="shared" si="5"/>
        <v>5685.84375</v>
      </c>
      <c r="AJ22" s="207">
        <f t="shared" si="10"/>
        <v>7046.095546875</v>
      </c>
      <c r="AK22" s="208"/>
      <c r="AL22" s="221">
        <f t="shared" si="11"/>
        <v>3068.263333333334</v>
      </c>
      <c r="AM22" s="222">
        <f t="shared" si="6"/>
        <v>3977.832213541666</v>
      </c>
      <c r="AN22" s="208"/>
      <c r="AO22" s="227">
        <f t="shared" si="7"/>
        <v>323.025</v>
      </c>
      <c r="AP22" s="227">
        <f t="shared" si="7"/>
        <v>56.418749999999996</v>
      </c>
      <c r="AQ22" s="205">
        <f t="shared" si="12"/>
        <v>85.28765625</v>
      </c>
      <c r="AR22" s="205">
        <f t="shared" si="12"/>
        <v>528.78346875</v>
      </c>
      <c r="AS22" s="205">
        <f t="shared" si="12"/>
        <v>102.91377187500001</v>
      </c>
      <c r="AT22" s="231">
        <f t="shared" si="13"/>
        <v>1096.428646875</v>
      </c>
    </row>
    <row r="23" spans="1:46" ht="11.25" customHeight="1">
      <c r="A23" s="8">
        <v>17</v>
      </c>
      <c r="B23" s="8">
        <v>43</v>
      </c>
      <c r="C23" s="8"/>
      <c r="D23" s="346">
        <v>6</v>
      </c>
      <c r="E23" s="17">
        <f>VLOOKUP(D23,'A13 - Tabelle'!$A$6:$F$13,6)</f>
        <v>57295.799999999996</v>
      </c>
      <c r="F23" s="17">
        <f>VLOOKUP(D23,'A13 - Tabelle'!$A$6:$G$13,7)</f>
        <v>42151.28</v>
      </c>
      <c r="G23" s="18">
        <f t="shared" si="0"/>
        <v>39631.28</v>
      </c>
      <c r="H23" s="19"/>
      <c r="I23" s="16">
        <v>6</v>
      </c>
      <c r="J23" s="17">
        <f>VLOOKUP(I23,'E13 - Tabelle'!$A$7:$L$19,11)</f>
        <v>68230.125</v>
      </c>
      <c r="K23" s="20">
        <f>VLOOKUP(I23,'E13 - Tabelle'!$A$7:$L$19,12)</f>
        <v>36819.16</v>
      </c>
      <c r="L23" s="28">
        <f t="shared" si="1"/>
        <v>-2812.1199999999953</v>
      </c>
      <c r="M23" s="32">
        <f t="shared" si="14"/>
        <v>-76053.92999999996</v>
      </c>
      <c r="N23" s="8">
        <v>17</v>
      </c>
      <c r="O23" s="8">
        <v>43</v>
      </c>
      <c r="P23" s="47"/>
      <c r="Q23" s="47"/>
      <c r="R23" s="71"/>
      <c r="S23" s="197"/>
      <c r="T23" s="204"/>
      <c r="U23" s="370">
        <f t="shared" si="8"/>
        <v>1.8672721674876847</v>
      </c>
      <c r="V23" s="371"/>
      <c r="W23" s="68">
        <v>1.4</v>
      </c>
      <c r="X23" s="370">
        <f t="shared" si="2"/>
        <v>7.96018125</v>
      </c>
      <c r="Y23" s="68"/>
      <c r="Z23" s="372"/>
      <c r="AA23" s="197"/>
      <c r="AB23" s="204"/>
      <c r="AC23" s="205">
        <f t="shared" si="3"/>
        <v>323.025</v>
      </c>
      <c r="AD23" s="205">
        <f t="shared" si="3"/>
        <v>56.418749999999996</v>
      </c>
      <c r="AE23" s="205">
        <f t="shared" si="4"/>
        <v>85.28765625</v>
      </c>
      <c r="AF23" s="205">
        <f t="shared" si="4"/>
        <v>528.78346875</v>
      </c>
      <c r="AG23" s="205">
        <f t="shared" si="4"/>
        <v>366.736921875</v>
      </c>
      <c r="AH23" s="206">
        <f t="shared" si="9"/>
        <v>1360.2517968749999</v>
      </c>
      <c r="AI23" s="206">
        <f t="shared" si="5"/>
        <v>5685.84375</v>
      </c>
      <c r="AJ23" s="207">
        <f t="shared" si="10"/>
        <v>7046.095546875</v>
      </c>
      <c r="AK23" s="208"/>
      <c r="AL23" s="221">
        <f t="shared" si="11"/>
        <v>3068.263333333334</v>
      </c>
      <c r="AM23" s="222">
        <f t="shared" si="6"/>
        <v>3977.832213541666</v>
      </c>
      <c r="AN23" s="208"/>
      <c r="AO23" s="227">
        <f t="shared" si="7"/>
        <v>323.025</v>
      </c>
      <c r="AP23" s="227">
        <f t="shared" si="7"/>
        <v>56.418749999999996</v>
      </c>
      <c r="AQ23" s="205">
        <f t="shared" si="12"/>
        <v>85.28765625</v>
      </c>
      <c r="AR23" s="205">
        <f t="shared" si="12"/>
        <v>528.78346875</v>
      </c>
      <c r="AS23" s="205">
        <f t="shared" si="12"/>
        <v>102.91377187500001</v>
      </c>
      <c r="AT23" s="231">
        <f t="shared" si="13"/>
        <v>1096.428646875</v>
      </c>
    </row>
    <row r="24" spans="1:46" ht="11.25" customHeight="1">
      <c r="A24" s="8">
        <v>18</v>
      </c>
      <c r="B24" s="8">
        <v>44</v>
      </c>
      <c r="C24" s="8"/>
      <c r="D24" s="346">
        <v>6</v>
      </c>
      <c r="E24" s="17">
        <f>VLOOKUP(D24,'A13 - Tabelle'!$A$6:$F$13,6)</f>
        <v>57295.799999999996</v>
      </c>
      <c r="F24" s="17">
        <f>VLOOKUP(D24,'A13 - Tabelle'!$A$6:$G$13,7)</f>
        <v>42151.28</v>
      </c>
      <c r="G24" s="18">
        <f t="shared" si="0"/>
        <v>39631.28</v>
      </c>
      <c r="H24" s="19"/>
      <c r="I24" s="16">
        <v>6</v>
      </c>
      <c r="J24" s="17">
        <f>VLOOKUP(I24,'E13 - Tabelle'!$A$7:$L$19,11)</f>
        <v>68230.125</v>
      </c>
      <c r="K24" s="20">
        <f>VLOOKUP(I24,'E13 - Tabelle'!$A$7:$L$19,12)</f>
        <v>36819.16</v>
      </c>
      <c r="L24" s="28">
        <f t="shared" si="1"/>
        <v>-2812.1199999999953</v>
      </c>
      <c r="M24" s="32">
        <f t="shared" si="14"/>
        <v>-78866.04999999996</v>
      </c>
      <c r="N24" s="8">
        <v>18</v>
      </c>
      <c r="O24" s="8">
        <v>44</v>
      </c>
      <c r="P24" s="47"/>
      <c r="Q24" s="47"/>
      <c r="R24" s="71"/>
      <c r="S24" s="197"/>
      <c r="T24" s="204"/>
      <c r="U24" s="370">
        <f t="shared" si="8"/>
        <v>1.8672721674876847</v>
      </c>
      <c r="V24" s="371"/>
      <c r="W24" s="68">
        <v>1.3</v>
      </c>
      <c r="X24" s="370">
        <f t="shared" si="2"/>
        <v>7.391596875</v>
      </c>
      <c r="Y24" s="68"/>
      <c r="Z24" s="372"/>
      <c r="AA24" s="197"/>
      <c r="AB24" s="204"/>
      <c r="AC24" s="205">
        <f t="shared" si="3"/>
        <v>323.025</v>
      </c>
      <c r="AD24" s="205">
        <f t="shared" si="3"/>
        <v>56.418749999999996</v>
      </c>
      <c r="AE24" s="205">
        <f t="shared" si="4"/>
        <v>85.28765625</v>
      </c>
      <c r="AF24" s="205">
        <f t="shared" si="4"/>
        <v>528.78346875</v>
      </c>
      <c r="AG24" s="205">
        <f t="shared" si="4"/>
        <v>366.736921875</v>
      </c>
      <c r="AH24" s="206">
        <f t="shared" si="9"/>
        <v>1360.2517968749999</v>
      </c>
      <c r="AI24" s="206">
        <f t="shared" si="5"/>
        <v>5685.84375</v>
      </c>
      <c r="AJ24" s="207">
        <f t="shared" si="10"/>
        <v>7046.095546875</v>
      </c>
      <c r="AK24" s="208"/>
      <c r="AL24" s="221">
        <f t="shared" si="11"/>
        <v>3068.263333333334</v>
      </c>
      <c r="AM24" s="222">
        <f t="shared" si="6"/>
        <v>3977.832213541666</v>
      </c>
      <c r="AN24" s="208"/>
      <c r="AO24" s="227">
        <f t="shared" si="7"/>
        <v>323.025</v>
      </c>
      <c r="AP24" s="227">
        <f t="shared" si="7"/>
        <v>56.418749999999996</v>
      </c>
      <c r="AQ24" s="205">
        <f t="shared" si="12"/>
        <v>85.28765625</v>
      </c>
      <c r="AR24" s="205">
        <f t="shared" si="12"/>
        <v>528.78346875</v>
      </c>
      <c r="AS24" s="205">
        <f t="shared" si="12"/>
        <v>102.91377187500001</v>
      </c>
      <c r="AT24" s="231">
        <f t="shared" si="13"/>
        <v>1096.428646875</v>
      </c>
    </row>
    <row r="25" spans="1:46" ht="11.25" customHeight="1">
      <c r="A25" s="8">
        <v>19</v>
      </c>
      <c r="B25" s="8">
        <v>45</v>
      </c>
      <c r="C25" s="8"/>
      <c r="D25" s="346">
        <v>7</v>
      </c>
      <c r="E25" s="17">
        <f>VLOOKUP(D25,'A13 - Tabelle'!$A$6:$F$13,6)</f>
        <v>59487.12</v>
      </c>
      <c r="F25" s="17">
        <f>VLOOKUP(D25,'A13 - Tabelle'!$A$6:$G$13,7)</f>
        <v>43372</v>
      </c>
      <c r="G25" s="18">
        <f t="shared" si="0"/>
        <v>40852</v>
      </c>
      <c r="H25" s="19"/>
      <c r="I25" s="16">
        <v>6</v>
      </c>
      <c r="J25" s="17">
        <f>VLOOKUP(I25,'E13 - Tabelle'!$A$7:$L$19,11)</f>
        <v>68230.125</v>
      </c>
      <c r="K25" s="20">
        <f>VLOOKUP(I25,'E13 - Tabelle'!$A$7:$L$19,12)</f>
        <v>36819.16</v>
      </c>
      <c r="L25" s="28">
        <f t="shared" si="1"/>
        <v>-4032.8399999999965</v>
      </c>
      <c r="M25" s="32">
        <f t="shared" si="14"/>
        <v>-82898.88999999996</v>
      </c>
      <c r="N25" s="8">
        <v>19</v>
      </c>
      <c r="O25" s="8">
        <v>45</v>
      </c>
      <c r="P25" s="47"/>
      <c r="Q25" s="47"/>
      <c r="R25" s="71"/>
      <c r="S25" s="197"/>
      <c r="T25" s="204"/>
      <c r="U25" s="370">
        <f t="shared" si="8"/>
        <v>1.8672721674876847</v>
      </c>
      <c r="V25" s="371"/>
      <c r="W25" s="68">
        <v>1.3</v>
      </c>
      <c r="X25" s="370">
        <f t="shared" si="2"/>
        <v>7.391596875</v>
      </c>
      <c r="Y25" s="68"/>
      <c r="Z25" s="372"/>
      <c r="AA25" s="197"/>
      <c r="AB25" s="204"/>
      <c r="AC25" s="205">
        <f t="shared" si="3"/>
        <v>323.025</v>
      </c>
      <c r="AD25" s="205">
        <f t="shared" si="3"/>
        <v>56.418749999999996</v>
      </c>
      <c r="AE25" s="205">
        <f t="shared" si="4"/>
        <v>85.28765625</v>
      </c>
      <c r="AF25" s="205">
        <f t="shared" si="4"/>
        <v>528.78346875</v>
      </c>
      <c r="AG25" s="205">
        <f t="shared" si="4"/>
        <v>366.736921875</v>
      </c>
      <c r="AH25" s="206">
        <f t="shared" si="9"/>
        <v>1360.2517968749999</v>
      </c>
      <c r="AI25" s="206">
        <f t="shared" si="5"/>
        <v>5685.84375</v>
      </c>
      <c r="AJ25" s="207">
        <f t="shared" si="10"/>
        <v>7046.095546875</v>
      </c>
      <c r="AK25" s="208"/>
      <c r="AL25" s="221">
        <f t="shared" si="11"/>
        <v>3068.263333333334</v>
      </c>
      <c r="AM25" s="222">
        <f t="shared" si="6"/>
        <v>3977.832213541666</v>
      </c>
      <c r="AN25" s="208"/>
      <c r="AO25" s="227">
        <f t="shared" si="7"/>
        <v>323.025</v>
      </c>
      <c r="AP25" s="227">
        <f t="shared" si="7"/>
        <v>56.418749999999996</v>
      </c>
      <c r="AQ25" s="205">
        <f t="shared" si="12"/>
        <v>85.28765625</v>
      </c>
      <c r="AR25" s="205">
        <f t="shared" si="12"/>
        <v>528.78346875</v>
      </c>
      <c r="AS25" s="205">
        <f t="shared" si="12"/>
        <v>102.91377187500001</v>
      </c>
      <c r="AT25" s="231">
        <f t="shared" si="13"/>
        <v>1096.428646875</v>
      </c>
    </row>
    <row r="26" spans="1:46" ht="11.25" customHeight="1">
      <c r="A26" s="8">
        <v>20</v>
      </c>
      <c r="B26" s="8">
        <v>46</v>
      </c>
      <c r="C26" s="8"/>
      <c r="D26" s="346">
        <v>7</v>
      </c>
      <c r="E26" s="17">
        <f>VLOOKUP(D26,'A13 - Tabelle'!$A$6:$F$13,6)</f>
        <v>59487.12</v>
      </c>
      <c r="F26" s="17">
        <f>VLOOKUP(D26,'A13 - Tabelle'!$A$6:$G$13,7)</f>
        <v>43372</v>
      </c>
      <c r="G26" s="18">
        <f t="shared" si="0"/>
        <v>40852</v>
      </c>
      <c r="H26" s="19"/>
      <c r="I26" s="16">
        <v>6</v>
      </c>
      <c r="J26" s="17">
        <f>VLOOKUP(I26,'E13 - Tabelle'!$A$7:$L$19,11)</f>
        <v>68230.125</v>
      </c>
      <c r="K26" s="20">
        <f>VLOOKUP(I26,'E13 - Tabelle'!$A$7:$L$19,12)</f>
        <v>36819.16</v>
      </c>
      <c r="L26" s="28">
        <f t="shared" si="1"/>
        <v>-4032.8399999999965</v>
      </c>
      <c r="M26" s="32">
        <f t="shared" si="14"/>
        <v>-86931.72999999995</v>
      </c>
      <c r="N26" s="8">
        <v>20</v>
      </c>
      <c r="O26" s="8">
        <v>46</v>
      </c>
      <c r="P26" s="47"/>
      <c r="Q26" s="47"/>
      <c r="R26" s="71"/>
      <c r="S26" s="197"/>
      <c r="T26" s="204"/>
      <c r="U26" s="370">
        <f t="shared" si="8"/>
        <v>1.8672721674876847</v>
      </c>
      <c r="V26" s="371"/>
      <c r="W26" s="68">
        <v>1.3</v>
      </c>
      <c r="X26" s="370">
        <f t="shared" si="2"/>
        <v>7.391596875</v>
      </c>
      <c r="Y26" s="68"/>
      <c r="Z26" s="372"/>
      <c r="AA26" s="197"/>
      <c r="AB26" s="204"/>
      <c r="AC26" s="205">
        <f t="shared" si="3"/>
        <v>323.025</v>
      </c>
      <c r="AD26" s="205">
        <f t="shared" si="3"/>
        <v>56.418749999999996</v>
      </c>
      <c r="AE26" s="205">
        <f t="shared" si="4"/>
        <v>85.28765625</v>
      </c>
      <c r="AF26" s="205">
        <f t="shared" si="4"/>
        <v>528.78346875</v>
      </c>
      <c r="AG26" s="205">
        <f t="shared" si="4"/>
        <v>366.736921875</v>
      </c>
      <c r="AH26" s="206">
        <f t="shared" si="9"/>
        <v>1360.2517968749999</v>
      </c>
      <c r="AI26" s="206">
        <f t="shared" si="5"/>
        <v>5685.84375</v>
      </c>
      <c r="AJ26" s="207">
        <f t="shared" si="10"/>
        <v>7046.095546875</v>
      </c>
      <c r="AK26" s="208"/>
      <c r="AL26" s="221">
        <f t="shared" si="11"/>
        <v>3068.263333333334</v>
      </c>
      <c r="AM26" s="222">
        <f t="shared" si="6"/>
        <v>3977.832213541666</v>
      </c>
      <c r="AN26" s="208"/>
      <c r="AO26" s="227">
        <f t="shared" si="7"/>
        <v>323.025</v>
      </c>
      <c r="AP26" s="227">
        <f t="shared" si="7"/>
        <v>56.418749999999996</v>
      </c>
      <c r="AQ26" s="205">
        <f t="shared" si="12"/>
        <v>85.28765625</v>
      </c>
      <c r="AR26" s="205">
        <f t="shared" si="12"/>
        <v>528.78346875</v>
      </c>
      <c r="AS26" s="205">
        <f t="shared" si="12"/>
        <v>102.91377187500001</v>
      </c>
      <c r="AT26" s="231">
        <f t="shared" si="13"/>
        <v>1096.428646875</v>
      </c>
    </row>
    <row r="27" spans="1:46" ht="11.25" customHeight="1">
      <c r="A27" s="8">
        <v>21</v>
      </c>
      <c r="B27" s="8">
        <v>47</v>
      </c>
      <c r="C27" s="8"/>
      <c r="D27" s="346">
        <v>7</v>
      </c>
      <c r="E27" s="17">
        <f>VLOOKUP(D27,'A13 - Tabelle'!$A$6:$F$13,6)</f>
        <v>59487.12</v>
      </c>
      <c r="F27" s="17">
        <f>VLOOKUP(D27,'A13 - Tabelle'!$A$6:$G$13,7)</f>
        <v>43372</v>
      </c>
      <c r="G27" s="18">
        <f t="shared" si="0"/>
        <v>40852</v>
      </c>
      <c r="H27" s="19"/>
      <c r="I27" s="16">
        <v>6</v>
      </c>
      <c r="J27" s="17">
        <f>VLOOKUP(I27,'E13 - Tabelle'!$A$7:$L$19,11)</f>
        <v>68230.125</v>
      </c>
      <c r="K27" s="20">
        <f>VLOOKUP(I27,'E13 - Tabelle'!$A$7:$L$19,12)</f>
        <v>36819.16</v>
      </c>
      <c r="L27" s="28">
        <f t="shared" si="1"/>
        <v>-4032.8399999999965</v>
      </c>
      <c r="M27" s="32">
        <f t="shared" si="14"/>
        <v>-90964.56999999995</v>
      </c>
      <c r="N27" s="8">
        <v>21</v>
      </c>
      <c r="O27" s="8">
        <v>47</v>
      </c>
      <c r="P27" s="49"/>
      <c r="Q27" s="49"/>
      <c r="R27" s="71"/>
      <c r="S27" s="197"/>
      <c r="T27" s="204"/>
      <c r="U27" s="370">
        <f t="shared" si="8"/>
        <v>1.8672721674876847</v>
      </c>
      <c r="V27" s="371"/>
      <c r="W27" s="68">
        <v>1.2</v>
      </c>
      <c r="X27" s="370">
        <f t="shared" si="2"/>
        <v>6.8230125</v>
      </c>
      <c r="Y27" s="68"/>
      <c r="Z27" s="372"/>
      <c r="AA27" s="197"/>
      <c r="AB27" s="204"/>
      <c r="AC27" s="205">
        <f aca="true" t="shared" si="15" ref="AC27:AD46">IF(($J27&lt;$AJ$1),$J27/12*AC$5,$AJ$1/12*AC$5)</f>
        <v>323.025</v>
      </c>
      <c r="AD27" s="205">
        <f t="shared" si="15"/>
        <v>56.418749999999996</v>
      </c>
      <c r="AE27" s="205">
        <f aca="true" t="shared" si="16" ref="AE27:AG46">$J27/12*AE$5</f>
        <v>85.28765625</v>
      </c>
      <c r="AF27" s="205">
        <f t="shared" si="16"/>
        <v>528.78346875</v>
      </c>
      <c r="AG27" s="205">
        <f t="shared" si="16"/>
        <v>366.736921875</v>
      </c>
      <c r="AH27" s="206">
        <f t="shared" si="9"/>
        <v>1360.2517968749999</v>
      </c>
      <c r="AI27" s="206">
        <f t="shared" si="5"/>
        <v>5685.84375</v>
      </c>
      <c r="AJ27" s="207">
        <f t="shared" si="10"/>
        <v>7046.095546875</v>
      </c>
      <c r="AK27" s="208"/>
      <c r="AL27" s="221">
        <f t="shared" si="11"/>
        <v>3068.263333333334</v>
      </c>
      <c r="AM27" s="222">
        <f t="shared" si="6"/>
        <v>3977.832213541666</v>
      </c>
      <c r="AN27" s="208"/>
      <c r="AO27" s="227">
        <f aca="true" t="shared" si="17" ref="AO27:AP46">IF(($J27&lt;$AJ$1),$J27/12*AO$5,$AJ$1/12*AO$5)</f>
        <v>323.025</v>
      </c>
      <c r="AP27" s="227">
        <f t="shared" si="17"/>
        <v>56.418749999999996</v>
      </c>
      <c r="AQ27" s="205">
        <f t="shared" si="12"/>
        <v>85.28765625</v>
      </c>
      <c r="AR27" s="205">
        <f t="shared" si="12"/>
        <v>528.78346875</v>
      </c>
      <c r="AS27" s="205">
        <f t="shared" si="12"/>
        <v>102.91377187500001</v>
      </c>
      <c r="AT27" s="231">
        <f t="shared" si="13"/>
        <v>1096.428646875</v>
      </c>
    </row>
    <row r="28" spans="1:46" ht="11.25" customHeight="1">
      <c r="A28" s="8">
        <v>22</v>
      </c>
      <c r="B28" s="8">
        <v>48</v>
      </c>
      <c r="C28" s="8"/>
      <c r="D28" s="346">
        <v>7</v>
      </c>
      <c r="E28" s="17">
        <f>VLOOKUP(D28,'A13 - Tabelle'!$A$6:$F$13,6)</f>
        <v>59487.12</v>
      </c>
      <c r="F28" s="17">
        <f>VLOOKUP(D28,'A13 - Tabelle'!$A$6:$G$13,7)</f>
        <v>43372</v>
      </c>
      <c r="G28" s="18">
        <f t="shared" si="0"/>
        <v>40852</v>
      </c>
      <c r="H28" s="19"/>
      <c r="I28" s="16">
        <v>6</v>
      </c>
      <c r="J28" s="17">
        <f>VLOOKUP(I28,'E13 - Tabelle'!$A$7:$L$19,11)</f>
        <v>68230.125</v>
      </c>
      <c r="K28" s="20">
        <f>VLOOKUP(I28,'E13 - Tabelle'!$A$7:$L$19,12)</f>
        <v>36819.16</v>
      </c>
      <c r="L28" s="28">
        <f t="shared" si="1"/>
        <v>-4032.8399999999965</v>
      </c>
      <c r="M28" s="32">
        <f t="shared" si="14"/>
        <v>-94997.40999999995</v>
      </c>
      <c r="N28" s="8">
        <v>22</v>
      </c>
      <c r="O28" s="8">
        <v>48</v>
      </c>
      <c r="P28" s="47"/>
      <c r="Q28" s="47"/>
      <c r="R28" s="71"/>
      <c r="S28" s="197"/>
      <c r="T28" s="204"/>
      <c r="U28" s="370">
        <f t="shared" si="8"/>
        <v>1.8672721674876847</v>
      </c>
      <c r="V28" s="371"/>
      <c r="W28" s="68">
        <v>1.2</v>
      </c>
      <c r="X28" s="370">
        <f t="shared" si="2"/>
        <v>6.8230125</v>
      </c>
      <c r="Y28" s="68"/>
      <c r="Z28" s="372"/>
      <c r="AA28" s="197"/>
      <c r="AB28" s="204"/>
      <c r="AC28" s="205">
        <f t="shared" si="15"/>
        <v>323.025</v>
      </c>
      <c r="AD28" s="205">
        <f t="shared" si="15"/>
        <v>56.418749999999996</v>
      </c>
      <c r="AE28" s="205">
        <f t="shared" si="16"/>
        <v>85.28765625</v>
      </c>
      <c r="AF28" s="205">
        <f t="shared" si="16"/>
        <v>528.78346875</v>
      </c>
      <c r="AG28" s="205">
        <f t="shared" si="16"/>
        <v>366.736921875</v>
      </c>
      <c r="AH28" s="206">
        <f t="shared" si="9"/>
        <v>1360.2517968749999</v>
      </c>
      <c r="AI28" s="206">
        <f t="shared" si="5"/>
        <v>5685.84375</v>
      </c>
      <c r="AJ28" s="207">
        <f t="shared" si="10"/>
        <v>7046.095546875</v>
      </c>
      <c r="AK28" s="208"/>
      <c r="AL28" s="221">
        <f t="shared" si="11"/>
        <v>3068.263333333334</v>
      </c>
      <c r="AM28" s="222">
        <f t="shared" si="6"/>
        <v>3977.832213541666</v>
      </c>
      <c r="AN28" s="208"/>
      <c r="AO28" s="227">
        <f t="shared" si="17"/>
        <v>323.025</v>
      </c>
      <c r="AP28" s="227">
        <f t="shared" si="17"/>
        <v>56.418749999999996</v>
      </c>
      <c r="AQ28" s="205">
        <f t="shared" si="12"/>
        <v>85.28765625</v>
      </c>
      <c r="AR28" s="205">
        <f t="shared" si="12"/>
        <v>528.78346875</v>
      </c>
      <c r="AS28" s="205">
        <f t="shared" si="12"/>
        <v>102.91377187500001</v>
      </c>
      <c r="AT28" s="231">
        <f t="shared" si="13"/>
        <v>1096.428646875</v>
      </c>
    </row>
    <row r="29" spans="1:46" ht="11.25" customHeight="1">
      <c r="A29" s="8">
        <v>23</v>
      </c>
      <c r="B29" s="8">
        <v>49</v>
      </c>
      <c r="C29" s="8"/>
      <c r="D29" s="346">
        <v>8</v>
      </c>
      <c r="E29" s="17">
        <f>VLOOKUP(D29,'A13 - Tabelle'!$A$6:$F$13,6)</f>
        <v>60640.31999999999</v>
      </c>
      <c r="F29" s="17">
        <f>VLOOKUP(D29,'A13 - Tabelle'!$A$6:$G$13,7)</f>
        <v>44013.52</v>
      </c>
      <c r="G29" s="18">
        <f t="shared" si="0"/>
        <v>41493.52</v>
      </c>
      <c r="H29" s="19"/>
      <c r="I29" s="16">
        <v>6</v>
      </c>
      <c r="J29" s="17">
        <f>VLOOKUP(I29,'E13 - Tabelle'!$A$7:$L$19,11)</f>
        <v>68230.125</v>
      </c>
      <c r="K29" s="20">
        <f>VLOOKUP(I29,'E13 - Tabelle'!$A$7:$L$19,12)</f>
        <v>36819.16</v>
      </c>
      <c r="L29" s="28">
        <f t="shared" si="1"/>
        <v>-4674.359999999993</v>
      </c>
      <c r="M29" s="32">
        <f t="shared" si="14"/>
        <v>-99671.76999999993</v>
      </c>
      <c r="N29" s="8">
        <v>23</v>
      </c>
      <c r="O29" s="8">
        <v>49</v>
      </c>
      <c r="P29" s="47"/>
      <c r="Q29" s="47"/>
      <c r="R29" s="71"/>
      <c r="S29" s="197"/>
      <c r="T29" s="204"/>
      <c r="U29" s="370">
        <f t="shared" si="8"/>
        <v>1.8672721674876847</v>
      </c>
      <c r="V29" s="371"/>
      <c r="W29" s="68">
        <v>1.2</v>
      </c>
      <c r="X29" s="370">
        <f t="shared" si="2"/>
        <v>6.8230125</v>
      </c>
      <c r="Y29" s="68"/>
      <c r="Z29" s="372"/>
      <c r="AA29" s="197"/>
      <c r="AB29" s="204"/>
      <c r="AC29" s="205">
        <f t="shared" si="15"/>
        <v>323.025</v>
      </c>
      <c r="AD29" s="205">
        <f t="shared" si="15"/>
        <v>56.418749999999996</v>
      </c>
      <c r="AE29" s="205">
        <f t="shared" si="16"/>
        <v>85.28765625</v>
      </c>
      <c r="AF29" s="205">
        <f t="shared" si="16"/>
        <v>528.78346875</v>
      </c>
      <c r="AG29" s="205">
        <f t="shared" si="16"/>
        <v>366.736921875</v>
      </c>
      <c r="AH29" s="206">
        <f t="shared" si="9"/>
        <v>1360.2517968749999</v>
      </c>
      <c r="AI29" s="206">
        <f t="shared" si="5"/>
        <v>5685.84375</v>
      </c>
      <c r="AJ29" s="207">
        <f t="shared" si="10"/>
        <v>7046.095546875</v>
      </c>
      <c r="AK29" s="208"/>
      <c r="AL29" s="221">
        <f t="shared" si="11"/>
        <v>3068.263333333334</v>
      </c>
      <c r="AM29" s="222">
        <f t="shared" si="6"/>
        <v>3977.832213541666</v>
      </c>
      <c r="AN29" s="208"/>
      <c r="AO29" s="227">
        <f t="shared" si="17"/>
        <v>323.025</v>
      </c>
      <c r="AP29" s="227">
        <f t="shared" si="17"/>
        <v>56.418749999999996</v>
      </c>
      <c r="AQ29" s="205">
        <f t="shared" si="12"/>
        <v>85.28765625</v>
      </c>
      <c r="AR29" s="205">
        <f t="shared" si="12"/>
        <v>528.78346875</v>
      </c>
      <c r="AS29" s="205">
        <f t="shared" si="12"/>
        <v>102.91377187500001</v>
      </c>
      <c r="AT29" s="231">
        <f t="shared" si="13"/>
        <v>1096.428646875</v>
      </c>
    </row>
    <row r="30" spans="1:46" ht="11.25" customHeight="1">
      <c r="A30" s="8">
        <v>24</v>
      </c>
      <c r="B30" s="8">
        <v>50</v>
      </c>
      <c r="C30" s="8"/>
      <c r="D30" s="346">
        <v>8</v>
      </c>
      <c r="E30" s="17">
        <f>VLOOKUP(D30,'A13 - Tabelle'!$A$6:$F$13,6)</f>
        <v>60640.31999999999</v>
      </c>
      <c r="F30" s="17">
        <f>VLOOKUP(D30,'A13 - Tabelle'!$A$6:$G$13,7)</f>
        <v>44013.52</v>
      </c>
      <c r="G30" s="18">
        <f t="shared" si="0"/>
        <v>41493.52</v>
      </c>
      <c r="H30" s="19"/>
      <c r="I30" s="16">
        <v>6</v>
      </c>
      <c r="J30" s="17">
        <f>VLOOKUP(I30,'E13 - Tabelle'!$A$7:$L$19,11)</f>
        <v>68230.125</v>
      </c>
      <c r="K30" s="20">
        <f>VLOOKUP(I30,'E13 - Tabelle'!$A$7:$L$19,12)</f>
        <v>36819.16</v>
      </c>
      <c r="L30" s="28">
        <f t="shared" si="1"/>
        <v>-4674.359999999993</v>
      </c>
      <c r="M30" s="32">
        <f t="shared" si="14"/>
        <v>-104346.12999999992</v>
      </c>
      <c r="N30" s="8">
        <v>24</v>
      </c>
      <c r="O30" s="8">
        <v>50</v>
      </c>
      <c r="P30" s="47"/>
      <c r="Q30" s="47"/>
      <c r="R30" s="71"/>
      <c r="S30" s="197"/>
      <c r="T30" s="204"/>
      <c r="U30" s="370">
        <f t="shared" si="8"/>
        <v>1.8672721674876847</v>
      </c>
      <c r="V30" s="371"/>
      <c r="W30" s="68">
        <v>1.1</v>
      </c>
      <c r="X30" s="370">
        <f t="shared" si="2"/>
        <v>6.2544281250000004</v>
      </c>
      <c r="Y30" s="68"/>
      <c r="Z30" s="372"/>
      <c r="AA30" s="197"/>
      <c r="AB30" s="204"/>
      <c r="AC30" s="205">
        <f t="shared" si="15"/>
        <v>323.025</v>
      </c>
      <c r="AD30" s="205">
        <f t="shared" si="15"/>
        <v>56.418749999999996</v>
      </c>
      <c r="AE30" s="205">
        <f t="shared" si="16"/>
        <v>85.28765625</v>
      </c>
      <c r="AF30" s="205">
        <f t="shared" si="16"/>
        <v>528.78346875</v>
      </c>
      <c r="AG30" s="205">
        <f t="shared" si="16"/>
        <v>366.736921875</v>
      </c>
      <c r="AH30" s="206">
        <f t="shared" si="9"/>
        <v>1360.2517968749999</v>
      </c>
      <c r="AI30" s="206">
        <f t="shared" si="5"/>
        <v>5685.84375</v>
      </c>
      <c r="AJ30" s="207">
        <f t="shared" si="10"/>
        <v>7046.095546875</v>
      </c>
      <c r="AK30" s="208"/>
      <c r="AL30" s="221">
        <f t="shared" si="11"/>
        <v>3068.263333333334</v>
      </c>
      <c r="AM30" s="222">
        <f t="shared" si="6"/>
        <v>3977.832213541666</v>
      </c>
      <c r="AN30" s="208"/>
      <c r="AO30" s="227">
        <f t="shared" si="17"/>
        <v>323.025</v>
      </c>
      <c r="AP30" s="227">
        <f t="shared" si="17"/>
        <v>56.418749999999996</v>
      </c>
      <c r="AQ30" s="205">
        <f t="shared" si="12"/>
        <v>85.28765625</v>
      </c>
      <c r="AR30" s="205">
        <f t="shared" si="12"/>
        <v>528.78346875</v>
      </c>
      <c r="AS30" s="205">
        <f t="shared" si="12"/>
        <v>102.91377187500001</v>
      </c>
      <c r="AT30" s="231">
        <f t="shared" si="13"/>
        <v>1096.428646875</v>
      </c>
    </row>
    <row r="31" spans="1:46" ht="11.25" customHeight="1">
      <c r="A31" s="8">
        <v>25</v>
      </c>
      <c r="B31" s="8">
        <v>51</v>
      </c>
      <c r="C31" s="8"/>
      <c r="D31" s="16">
        <v>8</v>
      </c>
      <c r="E31" s="17">
        <f>VLOOKUP(D31,'A13 - Tabelle'!$A$6:$F$13,6)</f>
        <v>60640.31999999999</v>
      </c>
      <c r="F31" s="17">
        <f>VLOOKUP(D31,'A13 - Tabelle'!$A$6:$G$13,7)</f>
        <v>44013.52</v>
      </c>
      <c r="G31" s="18">
        <f t="shared" si="0"/>
        <v>41493.52</v>
      </c>
      <c r="H31" s="19"/>
      <c r="I31" s="16">
        <v>6</v>
      </c>
      <c r="J31" s="17">
        <f>VLOOKUP(I31,'E13 - Tabelle'!$A$7:$L$19,11)</f>
        <v>68230.125</v>
      </c>
      <c r="K31" s="20">
        <f>VLOOKUP(I31,'E13 - Tabelle'!$A$7:$L$19,12)</f>
        <v>36819.16</v>
      </c>
      <c r="L31" s="28">
        <f t="shared" si="1"/>
        <v>-4674.359999999993</v>
      </c>
      <c r="M31" s="32">
        <f t="shared" si="14"/>
        <v>-109020.4899999999</v>
      </c>
      <c r="N31" s="8">
        <v>25</v>
      </c>
      <c r="O31" s="8">
        <v>51</v>
      </c>
      <c r="P31" s="47"/>
      <c r="Q31" s="47"/>
      <c r="R31" s="71"/>
      <c r="S31" s="197"/>
      <c r="T31" s="204"/>
      <c r="U31" s="370">
        <f t="shared" si="8"/>
        <v>1.8672721674876847</v>
      </c>
      <c r="V31" s="371"/>
      <c r="W31" s="68">
        <v>1.1</v>
      </c>
      <c r="X31" s="370">
        <f t="shared" si="2"/>
        <v>6.2544281250000004</v>
      </c>
      <c r="Y31" s="68"/>
      <c r="Z31" s="372"/>
      <c r="AA31" s="197"/>
      <c r="AB31" s="204"/>
      <c r="AC31" s="205">
        <f t="shared" si="15"/>
        <v>323.025</v>
      </c>
      <c r="AD31" s="205">
        <f t="shared" si="15"/>
        <v>56.418749999999996</v>
      </c>
      <c r="AE31" s="205">
        <f t="shared" si="16"/>
        <v>85.28765625</v>
      </c>
      <c r="AF31" s="205">
        <f t="shared" si="16"/>
        <v>528.78346875</v>
      </c>
      <c r="AG31" s="205">
        <f t="shared" si="16"/>
        <v>366.736921875</v>
      </c>
      <c r="AH31" s="206">
        <f t="shared" si="9"/>
        <v>1360.2517968749999</v>
      </c>
      <c r="AI31" s="206">
        <f t="shared" si="5"/>
        <v>5685.84375</v>
      </c>
      <c r="AJ31" s="207">
        <f t="shared" si="10"/>
        <v>7046.095546875</v>
      </c>
      <c r="AK31" s="208"/>
      <c r="AL31" s="221">
        <f t="shared" si="11"/>
        <v>3068.263333333334</v>
      </c>
      <c r="AM31" s="222">
        <f t="shared" si="6"/>
        <v>3977.832213541666</v>
      </c>
      <c r="AN31" s="208"/>
      <c r="AO31" s="227">
        <f t="shared" si="17"/>
        <v>323.025</v>
      </c>
      <c r="AP31" s="227">
        <f t="shared" si="17"/>
        <v>56.418749999999996</v>
      </c>
      <c r="AQ31" s="205">
        <f t="shared" si="12"/>
        <v>85.28765625</v>
      </c>
      <c r="AR31" s="205">
        <f t="shared" si="12"/>
        <v>528.78346875</v>
      </c>
      <c r="AS31" s="205">
        <f t="shared" si="12"/>
        <v>102.91377187500001</v>
      </c>
      <c r="AT31" s="231">
        <f t="shared" si="13"/>
        <v>1096.428646875</v>
      </c>
    </row>
    <row r="32" spans="1:46" ht="11.25" customHeight="1">
      <c r="A32" s="8">
        <v>26</v>
      </c>
      <c r="B32" s="8">
        <v>52</v>
      </c>
      <c r="C32" s="8"/>
      <c r="D32" s="16">
        <v>8</v>
      </c>
      <c r="E32" s="17">
        <f>VLOOKUP(D32,'A13 - Tabelle'!$A$6:$F$13,6)</f>
        <v>60640.31999999999</v>
      </c>
      <c r="F32" s="17">
        <f>VLOOKUP(D32,'A13 - Tabelle'!$A$6:$G$13,7)</f>
        <v>44013.52</v>
      </c>
      <c r="G32" s="18">
        <f t="shared" si="0"/>
        <v>41493.52</v>
      </c>
      <c r="H32" s="19"/>
      <c r="I32" s="16">
        <v>6</v>
      </c>
      <c r="J32" s="17">
        <f>VLOOKUP(I32,'E13 - Tabelle'!$A$7:$L$19,11)</f>
        <v>68230.125</v>
      </c>
      <c r="K32" s="20">
        <f>VLOOKUP(I32,'E13 - Tabelle'!$A$7:$L$19,12)</f>
        <v>36819.16</v>
      </c>
      <c r="L32" s="28">
        <f t="shared" si="1"/>
        <v>-4674.359999999993</v>
      </c>
      <c r="M32" s="32">
        <f t="shared" si="14"/>
        <v>-113694.84999999989</v>
      </c>
      <c r="N32" s="8">
        <v>26</v>
      </c>
      <c r="O32" s="8">
        <v>52</v>
      </c>
      <c r="P32" s="47"/>
      <c r="Q32" s="47"/>
      <c r="R32" s="71"/>
      <c r="S32" s="197"/>
      <c r="T32" s="204"/>
      <c r="U32" s="370">
        <f t="shared" si="8"/>
        <v>1.8672721674876847</v>
      </c>
      <c r="V32" s="371"/>
      <c r="W32" s="68">
        <v>1.1</v>
      </c>
      <c r="X32" s="370">
        <f t="shared" si="2"/>
        <v>6.2544281250000004</v>
      </c>
      <c r="Y32" s="68"/>
      <c r="Z32" s="372"/>
      <c r="AA32" s="197"/>
      <c r="AB32" s="204"/>
      <c r="AC32" s="205">
        <f t="shared" si="15"/>
        <v>323.025</v>
      </c>
      <c r="AD32" s="205">
        <f t="shared" si="15"/>
        <v>56.418749999999996</v>
      </c>
      <c r="AE32" s="205">
        <f t="shared" si="16"/>
        <v>85.28765625</v>
      </c>
      <c r="AF32" s="205">
        <f t="shared" si="16"/>
        <v>528.78346875</v>
      </c>
      <c r="AG32" s="205">
        <f t="shared" si="16"/>
        <v>366.736921875</v>
      </c>
      <c r="AH32" s="206">
        <f t="shared" si="9"/>
        <v>1360.2517968749999</v>
      </c>
      <c r="AI32" s="206">
        <f t="shared" si="5"/>
        <v>5685.84375</v>
      </c>
      <c r="AJ32" s="207">
        <f t="shared" si="10"/>
        <v>7046.095546875</v>
      </c>
      <c r="AK32" s="208"/>
      <c r="AL32" s="221">
        <f t="shared" si="11"/>
        <v>3068.263333333334</v>
      </c>
      <c r="AM32" s="222">
        <f t="shared" si="6"/>
        <v>3977.832213541666</v>
      </c>
      <c r="AN32" s="208"/>
      <c r="AO32" s="227">
        <f t="shared" si="17"/>
        <v>323.025</v>
      </c>
      <c r="AP32" s="227">
        <f t="shared" si="17"/>
        <v>56.418749999999996</v>
      </c>
      <c r="AQ32" s="205">
        <f t="shared" si="12"/>
        <v>85.28765625</v>
      </c>
      <c r="AR32" s="205">
        <f t="shared" si="12"/>
        <v>528.78346875</v>
      </c>
      <c r="AS32" s="205">
        <f t="shared" si="12"/>
        <v>102.91377187500001</v>
      </c>
      <c r="AT32" s="231">
        <f t="shared" si="13"/>
        <v>1096.428646875</v>
      </c>
    </row>
    <row r="33" spans="1:46" ht="11.25" customHeight="1">
      <c r="A33" s="8">
        <v>27</v>
      </c>
      <c r="B33" s="8">
        <v>53</v>
      </c>
      <c r="C33" s="8"/>
      <c r="D33" s="16">
        <v>8</v>
      </c>
      <c r="E33" s="17">
        <f>VLOOKUP(D33,'A13 - Tabelle'!$A$6:$F$13,6)</f>
        <v>60640.31999999999</v>
      </c>
      <c r="F33" s="17">
        <f>VLOOKUP(D33,'A13 - Tabelle'!$A$6:$G$13,7)</f>
        <v>44013.52</v>
      </c>
      <c r="G33" s="18">
        <f t="shared" si="0"/>
        <v>41493.52</v>
      </c>
      <c r="H33" s="19"/>
      <c r="I33" s="16">
        <v>6</v>
      </c>
      <c r="J33" s="17">
        <f>VLOOKUP(I33,'E13 - Tabelle'!$A$7:$L$19,11)</f>
        <v>68230.125</v>
      </c>
      <c r="K33" s="20">
        <f>VLOOKUP(I33,'E13 - Tabelle'!$A$7:$L$19,12)</f>
        <v>36819.16</v>
      </c>
      <c r="L33" s="28">
        <f t="shared" si="1"/>
        <v>-4674.359999999993</v>
      </c>
      <c r="M33" s="32">
        <f t="shared" si="14"/>
        <v>-118369.20999999988</v>
      </c>
      <c r="N33" s="8">
        <v>27</v>
      </c>
      <c r="O33" s="8">
        <v>53</v>
      </c>
      <c r="P33" s="47"/>
      <c r="Q33" s="47"/>
      <c r="R33" s="71"/>
      <c r="S33" s="197"/>
      <c r="T33" s="204"/>
      <c r="U33" s="370">
        <f t="shared" si="8"/>
        <v>1.8672721674876847</v>
      </c>
      <c r="V33" s="371"/>
      <c r="W33" s="68">
        <v>1</v>
      </c>
      <c r="X33" s="370">
        <f t="shared" si="2"/>
        <v>5.68584375</v>
      </c>
      <c r="Y33" s="68"/>
      <c r="Z33" s="372"/>
      <c r="AA33" s="197"/>
      <c r="AB33" s="204"/>
      <c r="AC33" s="205">
        <f t="shared" si="15"/>
        <v>323.025</v>
      </c>
      <c r="AD33" s="205">
        <f t="shared" si="15"/>
        <v>56.418749999999996</v>
      </c>
      <c r="AE33" s="205">
        <f t="shared" si="16"/>
        <v>85.28765625</v>
      </c>
      <c r="AF33" s="205">
        <f t="shared" si="16"/>
        <v>528.78346875</v>
      </c>
      <c r="AG33" s="205">
        <f t="shared" si="16"/>
        <v>366.736921875</v>
      </c>
      <c r="AH33" s="206">
        <f t="shared" si="9"/>
        <v>1360.2517968749999</v>
      </c>
      <c r="AI33" s="206">
        <f t="shared" si="5"/>
        <v>5685.84375</v>
      </c>
      <c r="AJ33" s="207">
        <f t="shared" si="10"/>
        <v>7046.095546875</v>
      </c>
      <c r="AK33" s="208"/>
      <c r="AL33" s="221">
        <f t="shared" si="11"/>
        <v>3068.263333333334</v>
      </c>
      <c r="AM33" s="222">
        <f t="shared" si="6"/>
        <v>3977.832213541666</v>
      </c>
      <c r="AN33" s="208"/>
      <c r="AO33" s="227">
        <f t="shared" si="17"/>
        <v>323.025</v>
      </c>
      <c r="AP33" s="227">
        <f t="shared" si="17"/>
        <v>56.418749999999996</v>
      </c>
      <c r="AQ33" s="205">
        <f t="shared" si="12"/>
        <v>85.28765625</v>
      </c>
      <c r="AR33" s="205">
        <f t="shared" si="12"/>
        <v>528.78346875</v>
      </c>
      <c r="AS33" s="205">
        <f t="shared" si="12"/>
        <v>102.91377187500001</v>
      </c>
      <c r="AT33" s="231">
        <f t="shared" si="13"/>
        <v>1096.428646875</v>
      </c>
    </row>
    <row r="34" spans="1:46" ht="11.25" customHeight="1">
      <c r="A34" s="8">
        <v>28</v>
      </c>
      <c r="B34" s="8">
        <v>54</v>
      </c>
      <c r="C34" s="8"/>
      <c r="D34" s="16">
        <v>8</v>
      </c>
      <c r="E34" s="17">
        <f>VLOOKUP(D34,'A13 - Tabelle'!$A$6:$F$13,6)</f>
        <v>60640.31999999999</v>
      </c>
      <c r="F34" s="17">
        <f>VLOOKUP(D34,'A13 - Tabelle'!$A$6:$G$13,7)</f>
        <v>44013.52</v>
      </c>
      <c r="G34" s="18">
        <f t="shared" si="0"/>
        <v>41493.52</v>
      </c>
      <c r="H34" s="19"/>
      <c r="I34" s="16">
        <v>6</v>
      </c>
      <c r="J34" s="17">
        <f>VLOOKUP(I34,'E13 - Tabelle'!$A$7:$L$19,11)</f>
        <v>68230.125</v>
      </c>
      <c r="K34" s="20">
        <f>VLOOKUP(I34,'E13 - Tabelle'!$A$7:$L$19,12)</f>
        <v>36819.16</v>
      </c>
      <c r="L34" s="28">
        <f t="shared" si="1"/>
        <v>-4674.359999999993</v>
      </c>
      <c r="M34" s="32">
        <f t="shared" si="14"/>
        <v>-123043.56999999986</v>
      </c>
      <c r="N34" s="8">
        <v>28</v>
      </c>
      <c r="O34" s="8">
        <v>54</v>
      </c>
      <c r="P34" s="47"/>
      <c r="Q34" s="47"/>
      <c r="R34" s="71"/>
      <c r="S34" s="197"/>
      <c r="T34" s="204"/>
      <c r="U34" s="370">
        <f t="shared" si="8"/>
        <v>1.8672721674876847</v>
      </c>
      <c r="V34" s="371"/>
      <c r="W34" s="68">
        <v>1</v>
      </c>
      <c r="X34" s="370">
        <f t="shared" si="2"/>
        <v>5.68584375</v>
      </c>
      <c r="Y34" s="68"/>
      <c r="Z34" s="372"/>
      <c r="AA34" s="197"/>
      <c r="AB34" s="204"/>
      <c r="AC34" s="205">
        <f t="shared" si="15"/>
        <v>323.025</v>
      </c>
      <c r="AD34" s="205">
        <f t="shared" si="15"/>
        <v>56.418749999999996</v>
      </c>
      <c r="AE34" s="205">
        <f t="shared" si="16"/>
        <v>85.28765625</v>
      </c>
      <c r="AF34" s="205">
        <f t="shared" si="16"/>
        <v>528.78346875</v>
      </c>
      <c r="AG34" s="205">
        <f t="shared" si="16"/>
        <v>366.736921875</v>
      </c>
      <c r="AH34" s="206">
        <f t="shared" si="9"/>
        <v>1360.2517968749999</v>
      </c>
      <c r="AI34" s="206">
        <f t="shared" si="5"/>
        <v>5685.84375</v>
      </c>
      <c r="AJ34" s="207">
        <f t="shared" si="10"/>
        <v>7046.095546875</v>
      </c>
      <c r="AK34" s="208"/>
      <c r="AL34" s="221">
        <f t="shared" si="11"/>
        <v>3068.263333333334</v>
      </c>
      <c r="AM34" s="222">
        <f t="shared" si="6"/>
        <v>3977.832213541666</v>
      </c>
      <c r="AN34" s="208"/>
      <c r="AO34" s="227">
        <f t="shared" si="17"/>
        <v>323.025</v>
      </c>
      <c r="AP34" s="227">
        <f t="shared" si="17"/>
        <v>56.418749999999996</v>
      </c>
      <c r="AQ34" s="205">
        <f t="shared" si="12"/>
        <v>85.28765625</v>
      </c>
      <c r="AR34" s="205">
        <f t="shared" si="12"/>
        <v>528.78346875</v>
      </c>
      <c r="AS34" s="205">
        <f t="shared" si="12"/>
        <v>102.91377187500001</v>
      </c>
      <c r="AT34" s="231">
        <f t="shared" si="13"/>
        <v>1096.428646875</v>
      </c>
    </row>
    <row r="35" spans="1:49" ht="11.25" customHeight="1">
      <c r="A35" s="8">
        <v>29</v>
      </c>
      <c r="B35" s="8">
        <v>55</v>
      </c>
      <c r="C35" s="8"/>
      <c r="D35" s="16">
        <v>8</v>
      </c>
      <c r="E35" s="17">
        <f>VLOOKUP(D35,'A13 - Tabelle'!$A$6:$F$13,6)</f>
        <v>60640.31999999999</v>
      </c>
      <c r="F35" s="17">
        <f>VLOOKUP(D35,'A13 - Tabelle'!$A$6:$G$13,7)</f>
        <v>44013.52</v>
      </c>
      <c r="G35" s="18">
        <f t="shared" si="0"/>
        <v>41493.52</v>
      </c>
      <c r="H35" s="19"/>
      <c r="I35" s="16">
        <v>6</v>
      </c>
      <c r="J35" s="17">
        <f>VLOOKUP(I35,'E13 - Tabelle'!$A$7:$L$19,11)</f>
        <v>68230.125</v>
      </c>
      <c r="K35" s="20">
        <f>VLOOKUP(I35,'E13 - Tabelle'!$A$7:$L$19,12)</f>
        <v>36819.16</v>
      </c>
      <c r="L35" s="28">
        <f t="shared" si="1"/>
        <v>-4674.359999999993</v>
      </c>
      <c r="M35" s="32">
        <f t="shared" si="14"/>
        <v>-127717.92999999985</v>
      </c>
      <c r="N35" s="8">
        <v>29</v>
      </c>
      <c r="O35" s="8">
        <v>55</v>
      </c>
      <c r="P35" s="47"/>
      <c r="Q35" s="47"/>
      <c r="R35" s="71"/>
      <c r="S35" s="197"/>
      <c r="T35" s="204"/>
      <c r="U35" s="370">
        <f t="shared" si="8"/>
        <v>1.8672721674876847</v>
      </c>
      <c r="V35" s="371"/>
      <c r="W35" s="68">
        <v>1</v>
      </c>
      <c r="X35" s="370">
        <f t="shared" si="2"/>
        <v>5.68584375</v>
      </c>
      <c r="Y35" s="68"/>
      <c r="Z35" s="372"/>
      <c r="AA35" s="197"/>
      <c r="AB35" s="204"/>
      <c r="AC35" s="205">
        <f t="shared" si="15"/>
        <v>323.025</v>
      </c>
      <c r="AD35" s="205">
        <f t="shared" si="15"/>
        <v>56.418749999999996</v>
      </c>
      <c r="AE35" s="205">
        <f t="shared" si="16"/>
        <v>85.28765625</v>
      </c>
      <c r="AF35" s="205">
        <f t="shared" si="16"/>
        <v>528.78346875</v>
      </c>
      <c r="AG35" s="205">
        <f t="shared" si="16"/>
        <v>366.736921875</v>
      </c>
      <c r="AH35" s="206">
        <f t="shared" si="9"/>
        <v>1360.2517968749999</v>
      </c>
      <c r="AI35" s="206">
        <f t="shared" si="5"/>
        <v>5685.84375</v>
      </c>
      <c r="AJ35" s="207">
        <f t="shared" si="10"/>
        <v>7046.095546875</v>
      </c>
      <c r="AK35" s="208"/>
      <c r="AL35" s="221">
        <f t="shared" si="11"/>
        <v>3068.263333333334</v>
      </c>
      <c r="AM35" s="222">
        <f t="shared" si="6"/>
        <v>3977.832213541666</v>
      </c>
      <c r="AN35" s="208"/>
      <c r="AO35" s="227">
        <f t="shared" si="17"/>
        <v>323.025</v>
      </c>
      <c r="AP35" s="227">
        <f t="shared" si="17"/>
        <v>56.418749999999996</v>
      </c>
      <c r="AQ35" s="205">
        <f t="shared" si="12"/>
        <v>85.28765625</v>
      </c>
      <c r="AR35" s="205">
        <f t="shared" si="12"/>
        <v>528.78346875</v>
      </c>
      <c r="AS35" s="205">
        <f t="shared" si="12"/>
        <v>102.91377187500001</v>
      </c>
      <c r="AT35" s="231">
        <f t="shared" si="13"/>
        <v>1096.428646875</v>
      </c>
      <c r="AV35" s="241">
        <f>AO5*AJ1/12+AC5*AJ1/12</f>
        <v>646.05</v>
      </c>
      <c r="AW35">
        <f>AV35/2</f>
        <v>323.025</v>
      </c>
    </row>
    <row r="36" spans="1:46" ht="11.25" customHeight="1">
      <c r="A36" s="8">
        <v>30</v>
      </c>
      <c r="B36" s="8">
        <v>56</v>
      </c>
      <c r="C36" s="8"/>
      <c r="D36" s="16">
        <v>8</v>
      </c>
      <c r="E36" s="17">
        <f>VLOOKUP(D36,'A13 - Tabelle'!$A$6:$F$13,6)</f>
        <v>60640.31999999999</v>
      </c>
      <c r="F36" s="17">
        <f>VLOOKUP(D36,'A13 - Tabelle'!$A$6:$G$13,7)</f>
        <v>44013.52</v>
      </c>
      <c r="G36" s="18">
        <f t="shared" si="0"/>
        <v>41493.52</v>
      </c>
      <c r="H36" s="19"/>
      <c r="I36" s="16">
        <v>6</v>
      </c>
      <c r="J36" s="17">
        <f>VLOOKUP(I36,'E13 - Tabelle'!$A$7:$L$19,11)</f>
        <v>68230.125</v>
      </c>
      <c r="K36" s="20">
        <f>VLOOKUP(I36,'E13 - Tabelle'!$A$7:$L$19,12)</f>
        <v>36819.16</v>
      </c>
      <c r="L36" s="28">
        <f t="shared" si="1"/>
        <v>-4674.359999999993</v>
      </c>
      <c r="M36" s="32">
        <f t="shared" si="14"/>
        <v>-132392.28999999983</v>
      </c>
      <c r="N36" s="8">
        <v>30</v>
      </c>
      <c r="O36" s="8">
        <v>56</v>
      </c>
      <c r="P36" s="47"/>
      <c r="Q36" s="47"/>
      <c r="R36" s="71"/>
      <c r="S36" s="197"/>
      <c r="T36" s="204"/>
      <c r="U36" s="370">
        <f t="shared" si="8"/>
        <v>1.8672721674876847</v>
      </c>
      <c r="V36" s="371"/>
      <c r="W36" s="68">
        <v>1</v>
      </c>
      <c r="X36" s="370">
        <f t="shared" si="2"/>
        <v>5.68584375</v>
      </c>
      <c r="Y36" s="68"/>
      <c r="Z36" s="372"/>
      <c r="AA36" s="197"/>
      <c r="AB36" s="204"/>
      <c r="AC36" s="205">
        <f t="shared" si="15"/>
        <v>323.025</v>
      </c>
      <c r="AD36" s="205">
        <f t="shared" si="15"/>
        <v>56.418749999999996</v>
      </c>
      <c r="AE36" s="205">
        <f t="shared" si="16"/>
        <v>85.28765625</v>
      </c>
      <c r="AF36" s="205">
        <f t="shared" si="16"/>
        <v>528.78346875</v>
      </c>
      <c r="AG36" s="205">
        <f t="shared" si="16"/>
        <v>366.736921875</v>
      </c>
      <c r="AH36" s="206">
        <f t="shared" si="9"/>
        <v>1360.2517968749999</v>
      </c>
      <c r="AI36" s="206">
        <f t="shared" si="5"/>
        <v>5685.84375</v>
      </c>
      <c r="AJ36" s="207">
        <f t="shared" si="10"/>
        <v>7046.095546875</v>
      </c>
      <c r="AK36" s="208"/>
      <c r="AL36" s="221">
        <f t="shared" si="11"/>
        <v>3068.263333333334</v>
      </c>
      <c r="AM36" s="222">
        <f t="shared" si="6"/>
        <v>3977.832213541666</v>
      </c>
      <c r="AN36" s="208"/>
      <c r="AO36" s="227">
        <f t="shared" si="17"/>
        <v>323.025</v>
      </c>
      <c r="AP36" s="227">
        <f t="shared" si="17"/>
        <v>56.418749999999996</v>
      </c>
      <c r="AQ36" s="205">
        <f t="shared" si="12"/>
        <v>85.28765625</v>
      </c>
      <c r="AR36" s="205">
        <f t="shared" si="12"/>
        <v>528.78346875</v>
      </c>
      <c r="AS36" s="205">
        <f t="shared" si="12"/>
        <v>102.91377187500001</v>
      </c>
      <c r="AT36" s="231">
        <f t="shared" si="13"/>
        <v>1096.428646875</v>
      </c>
    </row>
    <row r="37" spans="1:46" ht="11.25" customHeight="1">
      <c r="A37" s="8">
        <v>31</v>
      </c>
      <c r="B37" s="8">
        <v>57</v>
      </c>
      <c r="C37" s="8"/>
      <c r="D37" s="16">
        <v>8</v>
      </c>
      <c r="E37" s="17">
        <f>VLOOKUP(D37,'A13 - Tabelle'!$A$6:$F$13,6)</f>
        <v>60640.31999999999</v>
      </c>
      <c r="F37" s="17">
        <f>VLOOKUP(D37,'A13 - Tabelle'!$A$6:$G$13,7)</f>
        <v>44013.52</v>
      </c>
      <c r="G37" s="18">
        <f t="shared" si="0"/>
        <v>41493.52</v>
      </c>
      <c r="H37" s="19"/>
      <c r="I37" s="16">
        <v>6</v>
      </c>
      <c r="J37" s="17">
        <f>VLOOKUP(I37,'E13 - Tabelle'!$A$7:$L$19,11)</f>
        <v>68230.125</v>
      </c>
      <c r="K37" s="20">
        <f>VLOOKUP(I37,'E13 - Tabelle'!$A$7:$L$19,12)</f>
        <v>36819.16</v>
      </c>
      <c r="L37" s="28">
        <f t="shared" si="1"/>
        <v>-4674.359999999993</v>
      </c>
      <c r="M37" s="32">
        <f t="shared" si="14"/>
        <v>-137066.64999999982</v>
      </c>
      <c r="N37" s="8">
        <v>31</v>
      </c>
      <c r="O37" s="8">
        <v>57</v>
      </c>
      <c r="P37" s="47"/>
      <c r="Q37" s="47"/>
      <c r="R37" s="71"/>
      <c r="S37" s="197"/>
      <c r="T37" s="204"/>
      <c r="U37" s="370">
        <f t="shared" si="8"/>
        <v>1.8672721674876847</v>
      </c>
      <c r="V37" s="371"/>
      <c r="W37" s="68">
        <v>0.9</v>
      </c>
      <c r="X37" s="370">
        <f t="shared" si="2"/>
        <v>5.117259375000001</v>
      </c>
      <c r="Y37" s="68"/>
      <c r="Z37" s="372"/>
      <c r="AA37" s="197"/>
      <c r="AB37" s="204"/>
      <c r="AC37" s="205">
        <f t="shared" si="15"/>
        <v>323.025</v>
      </c>
      <c r="AD37" s="205">
        <f t="shared" si="15"/>
        <v>56.418749999999996</v>
      </c>
      <c r="AE37" s="205">
        <f t="shared" si="16"/>
        <v>85.28765625</v>
      </c>
      <c r="AF37" s="205">
        <f t="shared" si="16"/>
        <v>528.78346875</v>
      </c>
      <c r="AG37" s="205">
        <f t="shared" si="16"/>
        <v>366.736921875</v>
      </c>
      <c r="AH37" s="206">
        <f t="shared" si="9"/>
        <v>1360.2517968749999</v>
      </c>
      <c r="AI37" s="206">
        <f t="shared" si="5"/>
        <v>5685.84375</v>
      </c>
      <c r="AJ37" s="207">
        <f t="shared" si="10"/>
        <v>7046.095546875</v>
      </c>
      <c r="AK37" s="208"/>
      <c r="AL37" s="221">
        <f t="shared" si="11"/>
        <v>3068.263333333334</v>
      </c>
      <c r="AM37" s="222">
        <f t="shared" si="6"/>
        <v>3977.832213541666</v>
      </c>
      <c r="AN37" s="208"/>
      <c r="AO37" s="227">
        <f t="shared" si="17"/>
        <v>323.025</v>
      </c>
      <c r="AP37" s="227">
        <f t="shared" si="17"/>
        <v>56.418749999999996</v>
      </c>
      <c r="AQ37" s="205">
        <f t="shared" si="12"/>
        <v>85.28765625</v>
      </c>
      <c r="AR37" s="205">
        <f t="shared" si="12"/>
        <v>528.78346875</v>
      </c>
      <c r="AS37" s="205">
        <f t="shared" si="12"/>
        <v>102.91377187500001</v>
      </c>
      <c r="AT37" s="231">
        <f t="shared" si="13"/>
        <v>1096.428646875</v>
      </c>
    </row>
    <row r="38" spans="1:46" ht="11.25" customHeight="1">
      <c r="A38" s="8">
        <v>32</v>
      </c>
      <c r="B38" s="8">
        <v>58</v>
      </c>
      <c r="C38" s="8"/>
      <c r="D38" s="16">
        <v>8</v>
      </c>
      <c r="E38" s="17">
        <f>VLOOKUP(D38,'A13 - Tabelle'!$A$6:$F$13,6)</f>
        <v>60640.31999999999</v>
      </c>
      <c r="F38" s="17">
        <f>VLOOKUP(D38,'A13 - Tabelle'!$A$6:$G$13,7)</f>
        <v>44013.52</v>
      </c>
      <c r="G38" s="18">
        <f t="shared" si="0"/>
        <v>41493.52</v>
      </c>
      <c r="H38" s="19"/>
      <c r="I38" s="16">
        <v>6</v>
      </c>
      <c r="J38" s="17">
        <f>VLOOKUP(I38,'E13 - Tabelle'!$A$7:$L$19,11)</f>
        <v>68230.125</v>
      </c>
      <c r="K38" s="20">
        <f>VLOOKUP(I38,'E13 - Tabelle'!$A$7:$L$19,12)</f>
        <v>36819.16</v>
      </c>
      <c r="L38" s="28">
        <f t="shared" si="1"/>
        <v>-4674.359999999993</v>
      </c>
      <c r="M38" s="32">
        <f t="shared" si="14"/>
        <v>-141741.0099999998</v>
      </c>
      <c r="N38" s="8">
        <v>32</v>
      </c>
      <c r="O38" s="8">
        <v>58</v>
      </c>
      <c r="P38" s="47"/>
      <c r="Q38" s="47"/>
      <c r="R38" s="71"/>
      <c r="S38" s="197"/>
      <c r="T38" s="204"/>
      <c r="U38" s="370">
        <f t="shared" si="8"/>
        <v>1.8672721674876847</v>
      </c>
      <c r="V38" s="371"/>
      <c r="W38" s="68">
        <v>0.9</v>
      </c>
      <c r="X38" s="370">
        <f t="shared" si="2"/>
        <v>5.117259375000001</v>
      </c>
      <c r="Y38" s="68"/>
      <c r="Z38" s="372"/>
      <c r="AA38" s="197"/>
      <c r="AB38" s="204"/>
      <c r="AC38" s="205">
        <f t="shared" si="15"/>
        <v>323.025</v>
      </c>
      <c r="AD38" s="205">
        <f t="shared" si="15"/>
        <v>56.418749999999996</v>
      </c>
      <c r="AE38" s="205">
        <f t="shared" si="16"/>
        <v>85.28765625</v>
      </c>
      <c r="AF38" s="205">
        <f t="shared" si="16"/>
        <v>528.78346875</v>
      </c>
      <c r="AG38" s="205">
        <f t="shared" si="16"/>
        <v>366.736921875</v>
      </c>
      <c r="AH38" s="206">
        <f t="shared" si="9"/>
        <v>1360.2517968749999</v>
      </c>
      <c r="AI38" s="206">
        <f t="shared" si="5"/>
        <v>5685.84375</v>
      </c>
      <c r="AJ38" s="207">
        <f t="shared" si="10"/>
        <v>7046.095546875</v>
      </c>
      <c r="AK38" s="208"/>
      <c r="AL38" s="221">
        <f t="shared" si="11"/>
        <v>3068.263333333334</v>
      </c>
      <c r="AM38" s="222">
        <f t="shared" si="6"/>
        <v>3977.832213541666</v>
      </c>
      <c r="AN38" s="208"/>
      <c r="AO38" s="227">
        <f t="shared" si="17"/>
        <v>323.025</v>
      </c>
      <c r="AP38" s="227">
        <f t="shared" si="17"/>
        <v>56.418749999999996</v>
      </c>
      <c r="AQ38" s="205">
        <f t="shared" si="12"/>
        <v>85.28765625</v>
      </c>
      <c r="AR38" s="205">
        <f t="shared" si="12"/>
        <v>528.78346875</v>
      </c>
      <c r="AS38" s="205">
        <f t="shared" si="12"/>
        <v>102.91377187500001</v>
      </c>
      <c r="AT38" s="231">
        <f t="shared" si="13"/>
        <v>1096.428646875</v>
      </c>
    </row>
    <row r="39" spans="1:46" ht="11.25" customHeight="1">
      <c r="A39" s="8">
        <v>33</v>
      </c>
      <c r="B39" s="8">
        <v>59</v>
      </c>
      <c r="C39" s="8"/>
      <c r="D39" s="16">
        <v>8</v>
      </c>
      <c r="E39" s="17">
        <f>VLOOKUP(D39,'A13 - Tabelle'!$A$6:$F$13,6)</f>
        <v>60640.31999999999</v>
      </c>
      <c r="F39" s="17">
        <f>VLOOKUP(D39,'A13 - Tabelle'!$A$6:$G$13,7)</f>
        <v>44013.52</v>
      </c>
      <c r="G39" s="18">
        <f t="shared" si="0"/>
        <v>41493.52</v>
      </c>
      <c r="H39" s="19"/>
      <c r="I39" s="16">
        <v>6</v>
      </c>
      <c r="J39" s="17">
        <f>VLOOKUP(I39,'E13 - Tabelle'!$A$7:$L$19,11)</f>
        <v>68230.125</v>
      </c>
      <c r="K39" s="20">
        <f>VLOOKUP(I39,'E13 - Tabelle'!$A$7:$L$19,12)</f>
        <v>36819.16</v>
      </c>
      <c r="L39" s="28">
        <f t="shared" si="1"/>
        <v>-4674.359999999993</v>
      </c>
      <c r="M39" s="32">
        <f t="shared" si="14"/>
        <v>-146415.3699999998</v>
      </c>
      <c r="N39" s="8">
        <v>33</v>
      </c>
      <c r="O39" s="8">
        <v>59</v>
      </c>
      <c r="P39" s="47"/>
      <c r="Q39" s="47"/>
      <c r="R39" s="71"/>
      <c r="S39" s="197"/>
      <c r="T39" s="204"/>
      <c r="U39" s="370">
        <f t="shared" si="8"/>
        <v>1.8672721674876847</v>
      </c>
      <c r="V39" s="371"/>
      <c r="W39" s="68">
        <v>0.9</v>
      </c>
      <c r="X39" s="370">
        <f t="shared" si="2"/>
        <v>5.117259375000001</v>
      </c>
      <c r="Y39" s="68"/>
      <c r="Z39" s="372"/>
      <c r="AA39" s="197"/>
      <c r="AB39" s="204"/>
      <c r="AC39" s="205">
        <f t="shared" si="15"/>
        <v>323.025</v>
      </c>
      <c r="AD39" s="205">
        <f t="shared" si="15"/>
        <v>56.418749999999996</v>
      </c>
      <c r="AE39" s="205">
        <f t="shared" si="16"/>
        <v>85.28765625</v>
      </c>
      <c r="AF39" s="205">
        <f t="shared" si="16"/>
        <v>528.78346875</v>
      </c>
      <c r="AG39" s="205">
        <f t="shared" si="16"/>
        <v>366.736921875</v>
      </c>
      <c r="AH39" s="206">
        <f t="shared" si="9"/>
        <v>1360.2517968749999</v>
      </c>
      <c r="AI39" s="206">
        <f t="shared" si="5"/>
        <v>5685.84375</v>
      </c>
      <c r="AJ39" s="207">
        <f t="shared" si="10"/>
        <v>7046.095546875</v>
      </c>
      <c r="AK39" s="208"/>
      <c r="AL39" s="221">
        <f t="shared" si="11"/>
        <v>3068.263333333334</v>
      </c>
      <c r="AM39" s="222">
        <f t="shared" si="6"/>
        <v>3977.832213541666</v>
      </c>
      <c r="AN39" s="208"/>
      <c r="AO39" s="227">
        <f t="shared" si="17"/>
        <v>323.025</v>
      </c>
      <c r="AP39" s="227">
        <f t="shared" si="17"/>
        <v>56.418749999999996</v>
      </c>
      <c r="AQ39" s="205">
        <f t="shared" si="12"/>
        <v>85.28765625</v>
      </c>
      <c r="AR39" s="205">
        <f t="shared" si="12"/>
        <v>528.78346875</v>
      </c>
      <c r="AS39" s="205">
        <f t="shared" si="12"/>
        <v>102.91377187500001</v>
      </c>
      <c r="AT39" s="231">
        <f t="shared" si="13"/>
        <v>1096.428646875</v>
      </c>
    </row>
    <row r="40" spans="1:46" ht="11.25" customHeight="1">
      <c r="A40" s="8">
        <v>34</v>
      </c>
      <c r="B40" s="8">
        <v>60</v>
      </c>
      <c r="C40" s="8"/>
      <c r="D40" s="16">
        <v>8</v>
      </c>
      <c r="E40" s="17">
        <f>VLOOKUP(D40,'A13 - Tabelle'!$A$6:$F$13,6)</f>
        <v>60640.31999999999</v>
      </c>
      <c r="F40" s="17">
        <f>VLOOKUP(D40,'A13 - Tabelle'!$A$6:$G$13,7)</f>
        <v>44013.52</v>
      </c>
      <c r="G40" s="18">
        <f t="shared" si="0"/>
        <v>41493.52</v>
      </c>
      <c r="H40" s="19"/>
      <c r="I40" s="16">
        <v>6</v>
      </c>
      <c r="J40" s="17">
        <f>VLOOKUP(I40,'E13 - Tabelle'!$A$7:$L$19,11)</f>
        <v>68230.125</v>
      </c>
      <c r="K40" s="20">
        <f>VLOOKUP(I40,'E13 - Tabelle'!$A$7:$L$19,12)</f>
        <v>36819.16</v>
      </c>
      <c r="L40" s="28">
        <f t="shared" si="1"/>
        <v>-4674.359999999993</v>
      </c>
      <c r="M40" s="32">
        <f t="shared" si="14"/>
        <v>-151089.72999999978</v>
      </c>
      <c r="N40" s="8">
        <v>34</v>
      </c>
      <c r="O40" s="8">
        <v>60</v>
      </c>
      <c r="P40" s="47"/>
      <c r="Q40" s="47"/>
      <c r="R40" s="71"/>
      <c r="S40" s="197"/>
      <c r="T40" s="204"/>
      <c r="U40" s="370">
        <f t="shared" si="8"/>
        <v>1.8672721674876847</v>
      </c>
      <c r="V40" s="371"/>
      <c r="W40" s="68">
        <v>0.9</v>
      </c>
      <c r="X40" s="370">
        <f t="shared" si="2"/>
        <v>5.117259375000001</v>
      </c>
      <c r="Y40" s="68"/>
      <c r="Z40" s="372"/>
      <c r="AA40" s="197"/>
      <c r="AB40" s="204"/>
      <c r="AC40" s="205">
        <f t="shared" si="15"/>
        <v>323.025</v>
      </c>
      <c r="AD40" s="205">
        <f t="shared" si="15"/>
        <v>56.418749999999996</v>
      </c>
      <c r="AE40" s="205">
        <f t="shared" si="16"/>
        <v>85.28765625</v>
      </c>
      <c r="AF40" s="205">
        <f t="shared" si="16"/>
        <v>528.78346875</v>
      </c>
      <c r="AG40" s="205">
        <f t="shared" si="16"/>
        <v>366.736921875</v>
      </c>
      <c r="AH40" s="206">
        <f t="shared" si="9"/>
        <v>1360.2517968749999</v>
      </c>
      <c r="AI40" s="206">
        <f t="shared" si="5"/>
        <v>5685.84375</v>
      </c>
      <c r="AJ40" s="207">
        <f t="shared" si="10"/>
        <v>7046.095546875</v>
      </c>
      <c r="AK40" s="208"/>
      <c r="AL40" s="221">
        <f t="shared" si="11"/>
        <v>3068.263333333334</v>
      </c>
      <c r="AM40" s="222">
        <f t="shared" si="6"/>
        <v>3977.832213541666</v>
      </c>
      <c r="AN40" s="208"/>
      <c r="AO40" s="227">
        <f t="shared" si="17"/>
        <v>323.025</v>
      </c>
      <c r="AP40" s="227">
        <f t="shared" si="17"/>
        <v>56.418749999999996</v>
      </c>
      <c r="AQ40" s="205">
        <f t="shared" si="12"/>
        <v>85.28765625</v>
      </c>
      <c r="AR40" s="205">
        <f t="shared" si="12"/>
        <v>528.78346875</v>
      </c>
      <c r="AS40" s="205">
        <f t="shared" si="12"/>
        <v>102.91377187500001</v>
      </c>
      <c r="AT40" s="231">
        <f t="shared" si="13"/>
        <v>1096.428646875</v>
      </c>
    </row>
    <row r="41" spans="1:46" ht="11.25" customHeight="1">
      <c r="A41" s="8">
        <v>35</v>
      </c>
      <c r="B41" s="8">
        <v>61</v>
      </c>
      <c r="C41" s="8"/>
      <c r="D41" s="16">
        <v>8</v>
      </c>
      <c r="E41" s="17">
        <f>VLOOKUP(D41,'A13 - Tabelle'!$A$6:$F$13,6)</f>
        <v>60640.31999999999</v>
      </c>
      <c r="F41" s="17">
        <f>VLOOKUP(D41,'A13 - Tabelle'!$A$6:$G$13,7)</f>
        <v>44013.52</v>
      </c>
      <c r="G41" s="18">
        <f t="shared" si="0"/>
        <v>41493.52</v>
      </c>
      <c r="H41" s="19"/>
      <c r="I41" s="16">
        <v>6</v>
      </c>
      <c r="J41" s="17">
        <f>VLOOKUP(I41,'E13 - Tabelle'!$A$7:$L$19,11)</f>
        <v>68230.125</v>
      </c>
      <c r="K41" s="20">
        <f>VLOOKUP(I41,'E13 - Tabelle'!$A$7:$L$19,12)</f>
        <v>36819.16</v>
      </c>
      <c r="L41" s="28">
        <f t="shared" si="1"/>
        <v>-4674.359999999993</v>
      </c>
      <c r="M41" s="32">
        <f t="shared" si="14"/>
        <v>-155764.08999999976</v>
      </c>
      <c r="N41" s="8">
        <v>35</v>
      </c>
      <c r="O41" s="8">
        <v>61</v>
      </c>
      <c r="P41" s="47"/>
      <c r="Q41" s="47"/>
      <c r="R41" s="71"/>
      <c r="S41" s="197"/>
      <c r="T41" s="204"/>
      <c r="U41" s="370">
        <f t="shared" si="8"/>
        <v>1.8672721674876847</v>
      </c>
      <c r="V41" s="371"/>
      <c r="W41" s="68">
        <v>0.9</v>
      </c>
      <c r="X41" s="370">
        <f t="shared" si="2"/>
        <v>5.117259375000001</v>
      </c>
      <c r="Y41" s="68"/>
      <c r="Z41" s="372"/>
      <c r="AA41" s="197"/>
      <c r="AB41" s="204"/>
      <c r="AC41" s="205">
        <f t="shared" si="15"/>
        <v>323.025</v>
      </c>
      <c r="AD41" s="205">
        <f t="shared" si="15"/>
        <v>56.418749999999996</v>
      </c>
      <c r="AE41" s="205">
        <f t="shared" si="16"/>
        <v>85.28765625</v>
      </c>
      <c r="AF41" s="205">
        <f t="shared" si="16"/>
        <v>528.78346875</v>
      </c>
      <c r="AG41" s="205">
        <f t="shared" si="16"/>
        <v>366.736921875</v>
      </c>
      <c r="AH41" s="206">
        <f t="shared" si="9"/>
        <v>1360.2517968749999</v>
      </c>
      <c r="AI41" s="206">
        <f t="shared" si="5"/>
        <v>5685.84375</v>
      </c>
      <c r="AJ41" s="207">
        <f t="shared" si="10"/>
        <v>7046.095546875</v>
      </c>
      <c r="AK41" s="208"/>
      <c r="AL41" s="221">
        <f t="shared" si="11"/>
        <v>3068.263333333334</v>
      </c>
      <c r="AM41" s="222">
        <f t="shared" si="6"/>
        <v>3977.832213541666</v>
      </c>
      <c r="AN41" s="208"/>
      <c r="AO41" s="227">
        <f t="shared" si="17"/>
        <v>323.025</v>
      </c>
      <c r="AP41" s="227">
        <f t="shared" si="17"/>
        <v>56.418749999999996</v>
      </c>
      <c r="AQ41" s="205">
        <f t="shared" si="12"/>
        <v>85.28765625</v>
      </c>
      <c r="AR41" s="205">
        <f t="shared" si="12"/>
        <v>528.78346875</v>
      </c>
      <c r="AS41" s="205">
        <f t="shared" si="12"/>
        <v>102.91377187500001</v>
      </c>
      <c r="AT41" s="231">
        <f t="shared" si="13"/>
        <v>1096.428646875</v>
      </c>
    </row>
    <row r="42" spans="1:46" ht="11.25" customHeight="1">
      <c r="A42" s="8">
        <v>36</v>
      </c>
      <c r="B42" s="8">
        <v>62</v>
      </c>
      <c r="C42" s="8"/>
      <c r="D42" s="16">
        <v>8</v>
      </c>
      <c r="E42" s="17">
        <f>VLOOKUP(D42,'A13 - Tabelle'!$A$6:$F$13,6)</f>
        <v>60640.31999999999</v>
      </c>
      <c r="F42" s="17">
        <f>VLOOKUP(D42,'A13 - Tabelle'!$A$6:$G$13,7)</f>
        <v>44013.52</v>
      </c>
      <c r="G42" s="18">
        <f t="shared" si="0"/>
        <v>41493.52</v>
      </c>
      <c r="H42" s="19"/>
      <c r="I42" s="16">
        <v>6</v>
      </c>
      <c r="J42" s="17">
        <f>VLOOKUP(I42,'E13 - Tabelle'!$A$7:$L$19,11)</f>
        <v>68230.125</v>
      </c>
      <c r="K42" s="20">
        <f>VLOOKUP(I42,'E13 - Tabelle'!$A$7:$L$19,12)</f>
        <v>36819.16</v>
      </c>
      <c r="L42" s="28">
        <f t="shared" si="1"/>
        <v>-4674.359999999993</v>
      </c>
      <c r="M42" s="32">
        <f t="shared" si="14"/>
        <v>-160438.44999999975</v>
      </c>
      <c r="N42" s="8">
        <v>36</v>
      </c>
      <c r="O42" s="8">
        <v>62</v>
      </c>
      <c r="P42" s="47"/>
      <c r="Q42" s="47"/>
      <c r="R42" s="71"/>
      <c r="S42" s="197"/>
      <c r="T42" s="204"/>
      <c r="U42" s="370">
        <f t="shared" si="8"/>
        <v>1.8672721674876847</v>
      </c>
      <c r="V42" s="371"/>
      <c r="W42" s="68">
        <v>0.8</v>
      </c>
      <c r="X42" s="370">
        <f t="shared" si="2"/>
        <v>4.548675</v>
      </c>
      <c r="Y42" s="68"/>
      <c r="Z42" s="372"/>
      <c r="AA42" s="197"/>
      <c r="AB42" s="204"/>
      <c r="AC42" s="205">
        <f t="shared" si="15"/>
        <v>323.025</v>
      </c>
      <c r="AD42" s="205">
        <f t="shared" si="15"/>
        <v>56.418749999999996</v>
      </c>
      <c r="AE42" s="205">
        <f t="shared" si="16"/>
        <v>85.28765625</v>
      </c>
      <c r="AF42" s="205">
        <f t="shared" si="16"/>
        <v>528.78346875</v>
      </c>
      <c r="AG42" s="205">
        <f t="shared" si="16"/>
        <v>366.736921875</v>
      </c>
      <c r="AH42" s="206">
        <f t="shared" si="9"/>
        <v>1360.2517968749999</v>
      </c>
      <c r="AI42" s="206">
        <f t="shared" si="5"/>
        <v>5685.84375</v>
      </c>
      <c r="AJ42" s="207">
        <f t="shared" si="10"/>
        <v>7046.095546875</v>
      </c>
      <c r="AK42" s="208"/>
      <c r="AL42" s="221">
        <f t="shared" si="11"/>
        <v>3068.263333333334</v>
      </c>
      <c r="AM42" s="222">
        <f t="shared" si="6"/>
        <v>3977.832213541666</v>
      </c>
      <c r="AN42" s="208"/>
      <c r="AO42" s="227">
        <f t="shared" si="17"/>
        <v>323.025</v>
      </c>
      <c r="AP42" s="227">
        <f t="shared" si="17"/>
        <v>56.418749999999996</v>
      </c>
      <c r="AQ42" s="205">
        <f t="shared" si="12"/>
        <v>85.28765625</v>
      </c>
      <c r="AR42" s="205">
        <f t="shared" si="12"/>
        <v>528.78346875</v>
      </c>
      <c r="AS42" s="205">
        <f t="shared" si="12"/>
        <v>102.91377187500001</v>
      </c>
      <c r="AT42" s="231">
        <f t="shared" si="13"/>
        <v>1096.428646875</v>
      </c>
    </row>
    <row r="43" spans="1:46" ht="11.25" customHeight="1">
      <c r="A43" s="8">
        <v>37</v>
      </c>
      <c r="B43" s="8">
        <v>63</v>
      </c>
      <c r="C43" s="8"/>
      <c r="D43" s="16">
        <v>8</v>
      </c>
      <c r="E43" s="17">
        <f>VLOOKUP(D43,'A13 - Tabelle'!$A$6:$F$13,6)</f>
        <v>60640.31999999999</v>
      </c>
      <c r="F43" s="17">
        <f>VLOOKUP(D43,'A13 - Tabelle'!$A$6:$G$13,7)</f>
        <v>44013.52</v>
      </c>
      <c r="G43" s="18">
        <f t="shared" si="0"/>
        <v>41493.52</v>
      </c>
      <c r="H43" s="19"/>
      <c r="I43" s="16">
        <v>6</v>
      </c>
      <c r="J43" s="17">
        <f>VLOOKUP(I43,'E13 - Tabelle'!$A$7:$L$19,11)</f>
        <v>68230.125</v>
      </c>
      <c r="K43" s="20">
        <f>VLOOKUP(I43,'E13 - Tabelle'!$A$7:$L$19,12)</f>
        <v>36819.16</v>
      </c>
      <c r="L43" s="28">
        <f t="shared" si="1"/>
        <v>-4674.359999999993</v>
      </c>
      <c r="M43" s="32">
        <f t="shared" si="14"/>
        <v>-165112.80999999974</v>
      </c>
      <c r="N43" s="8">
        <v>37</v>
      </c>
      <c r="O43" s="8">
        <v>63</v>
      </c>
      <c r="P43" s="47"/>
      <c r="Q43" s="47"/>
      <c r="R43" s="71"/>
      <c r="S43" s="197"/>
      <c r="T43" s="204"/>
      <c r="U43" s="370">
        <f t="shared" si="8"/>
        <v>1.8672721674876847</v>
      </c>
      <c r="V43" s="371"/>
      <c r="W43" s="68">
        <v>0.8</v>
      </c>
      <c r="X43" s="370">
        <f t="shared" si="2"/>
        <v>4.548675</v>
      </c>
      <c r="Y43" s="68"/>
      <c r="Z43" s="372"/>
      <c r="AA43" s="197"/>
      <c r="AB43" s="204"/>
      <c r="AC43" s="205">
        <f t="shared" si="15"/>
        <v>323.025</v>
      </c>
      <c r="AD43" s="205">
        <f t="shared" si="15"/>
        <v>56.418749999999996</v>
      </c>
      <c r="AE43" s="205">
        <f t="shared" si="16"/>
        <v>85.28765625</v>
      </c>
      <c r="AF43" s="205">
        <f t="shared" si="16"/>
        <v>528.78346875</v>
      </c>
      <c r="AG43" s="205">
        <f t="shared" si="16"/>
        <v>366.736921875</v>
      </c>
      <c r="AH43" s="206">
        <f t="shared" si="9"/>
        <v>1360.2517968749999</v>
      </c>
      <c r="AI43" s="206">
        <f t="shared" si="5"/>
        <v>5685.84375</v>
      </c>
      <c r="AJ43" s="207">
        <f t="shared" si="10"/>
        <v>7046.095546875</v>
      </c>
      <c r="AK43" s="208"/>
      <c r="AL43" s="221">
        <f t="shared" si="11"/>
        <v>3068.263333333334</v>
      </c>
      <c r="AM43" s="222">
        <f t="shared" si="6"/>
        <v>3977.832213541666</v>
      </c>
      <c r="AN43" s="208"/>
      <c r="AO43" s="227">
        <f t="shared" si="17"/>
        <v>323.025</v>
      </c>
      <c r="AP43" s="227">
        <f t="shared" si="17"/>
        <v>56.418749999999996</v>
      </c>
      <c r="AQ43" s="205">
        <f t="shared" si="12"/>
        <v>85.28765625</v>
      </c>
      <c r="AR43" s="205">
        <f t="shared" si="12"/>
        <v>528.78346875</v>
      </c>
      <c r="AS43" s="205">
        <f t="shared" si="12"/>
        <v>102.91377187500001</v>
      </c>
      <c r="AT43" s="231">
        <f t="shared" si="13"/>
        <v>1096.428646875</v>
      </c>
    </row>
    <row r="44" spans="1:46" ht="11.25" customHeight="1">
      <c r="A44" s="8">
        <v>38</v>
      </c>
      <c r="B44" s="8">
        <v>64</v>
      </c>
      <c r="C44" s="8"/>
      <c r="D44" s="16">
        <v>8</v>
      </c>
      <c r="E44" s="17">
        <f>VLOOKUP(D44,'A13 - Tabelle'!$A$6:$F$13,6)</f>
        <v>60640.31999999999</v>
      </c>
      <c r="F44" s="17">
        <f>VLOOKUP(D44,'A13 - Tabelle'!$A$6:$G$13,7)</f>
        <v>44013.52</v>
      </c>
      <c r="G44" s="18">
        <f t="shared" si="0"/>
        <v>41493.52</v>
      </c>
      <c r="H44" s="19"/>
      <c r="I44" s="16">
        <v>6</v>
      </c>
      <c r="J44" s="17">
        <f>VLOOKUP(I44,'E13 - Tabelle'!$A$7:$L$19,11)</f>
        <v>68230.125</v>
      </c>
      <c r="K44" s="20">
        <f>VLOOKUP(I44,'E13 - Tabelle'!$A$7:$L$19,12)</f>
        <v>36819.16</v>
      </c>
      <c r="L44" s="28">
        <f t="shared" si="1"/>
        <v>-4674.359999999993</v>
      </c>
      <c r="M44" s="32">
        <f t="shared" si="14"/>
        <v>-169787.16999999972</v>
      </c>
      <c r="N44" s="8">
        <v>38</v>
      </c>
      <c r="O44" s="8">
        <v>64</v>
      </c>
      <c r="P44" s="47"/>
      <c r="Q44" s="47"/>
      <c r="R44" s="71"/>
      <c r="S44" s="197"/>
      <c r="T44" s="204"/>
      <c r="U44" s="370">
        <f t="shared" si="8"/>
        <v>1.8672721674876847</v>
      </c>
      <c r="V44" s="371"/>
      <c r="W44" s="68">
        <v>0.8</v>
      </c>
      <c r="X44" s="370">
        <f t="shared" si="2"/>
        <v>4.548675</v>
      </c>
      <c r="Y44" s="68"/>
      <c r="Z44" s="372"/>
      <c r="AA44" s="197"/>
      <c r="AB44" s="204"/>
      <c r="AC44" s="205">
        <f t="shared" si="15"/>
        <v>323.025</v>
      </c>
      <c r="AD44" s="205">
        <f t="shared" si="15"/>
        <v>56.418749999999996</v>
      </c>
      <c r="AE44" s="205">
        <f t="shared" si="16"/>
        <v>85.28765625</v>
      </c>
      <c r="AF44" s="205">
        <f t="shared" si="16"/>
        <v>528.78346875</v>
      </c>
      <c r="AG44" s="205">
        <f t="shared" si="16"/>
        <v>366.736921875</v>
      </c>
      <c r="AH44" s="206">
        <f t="shared" si="9"/>
        <v>1360.2517968749999</v>
      </c>
      <c r="AI44" s="206">
        <f t="shared" si="5"/>
        <v>5685.84375</v>
      </c>
      <c r="AJ44" s="207">
        <f t="shared" si="10"/>
        <v>7046.095546875</v>
      </c>
      <c r="AK44" s="208"/>
      <c r="AL44" s="221">
        <f t="shared" si="11"/>
        <v>3068.263333333334</v>
      </c>
      <c r="AM44" s="222">
        <f t="shared" si="6"/>
        <v>3977.832213541666</v>
      </c>
      <c r="AN44" s="208"/>
      <c r="AO44" s="227">
        <f t="shared" si="17"/>
        <v>323.025</v>
      </c>
      <c r="AP44" s="227">
        <f t="shared" si="17"/>
        <v>56.418749999999996</v>
      </c>
      <c r="AQ44" s="205">
        <f t="shared" si="12"/>
        <v>85.28765625</v>
      </c>
      <c r="AR44" s="205">
        <f t="shared" si="12"/>
        <v>528.78346875</v>
      </c>
      <c r="AS44" s="205">
        <f t="shared" si="12"/>
        <v>102.91377187500001</v>
      </c>
      <c r="AT44" s="231">
        <f t="shared" si="13"/>
        <v>1096.428646875</v>
      </c>
    </row>
    <row r="45" spans="1:46" ht="11.25" customHeight="1">
      <c r="A45" s="8">
        <v>39</v>
      </c>
      <c r="B45" s="8">
        <v>65</v>
      </c>
      <c r="C45" s="8"/>
      <c r="D45" s="16">
        <v>8</v>
      </c>
      <c r="E45" s="17">
        <f>VLOOKUP(D45,'A13 - Tabelle'!$A$6:$F$13,6)</f>
        <v>60640.31999999999</v>
      </c>
      <c r="F45" s="17">
        <f>VLOOKUP(D45,'A13 - Tabelle'!$A$6:$G$13,7)</f>
        <v>44013.52</v>
      </c>
      <c r="G45" s="18">
        <f t="shared" si="0"/>
        <v>41493.52</v>
      </c>
      <c r="H45" s="19"/>
      <c r="I45" s="16">
        <v>6</v>
      </c>
      <c r="J45" s="17">
        <f>VLOOKUP(I45,'E13 - Tabelle'!$A$7:$L$19,11)</f>
        <v>68230.125</v>
      </c>
      <c r="K45" s="20">
        <f>VLOOKUP(I45,'E13 - Tabelle'!$A$7:$L$19,12)</f>
        <v>36819.16</v>
      </c>
      <c r="L45" s="28">
        <f t="shared" si="1"/>
        <v>-4674.359999999993</v>
      </c>
      <c r="M45" s="32">
        <f t="shared" si="14"/>
        <v>-174461.5299999997</v>
      </c>
      <c r="N45" s="8">
        <v>39</v>
      </c>
      <c r="O45" s="8">
        <v>65</v>
      </c>
      <c r="P45" s="20" t="s">
        <v>143</v>
      </c>
      <c r="Q45" s="47"/>
      <c r="R45" s="71"/>
      <c r="S45" s="197"/>
      <c r="T45" s="204"/>
      <c r="U45" s="370">
        <f t="shared" si="8"/>
        <v>1.8672721674876847</v>
      </c>
      <c r="V45" s="371"/>
      <c r="W45" s="68">
        <v>0.8</v>
      </c>
      <c r="X45" s="370">
        <f t="shared" si="2"/>
        <v>4.548675</v>
      </c>
      <c r="Y45" s="68"/>
      <c r="Z45" s="372"/>
      <c r="AA45" s="197"/>
      <c r="AB45" s="204"/>
      <c r="AC45" s="205">
        <f t="shared" si="15"/>
        <v>323.025</v>
      </c>
      <c r="AD45" s="205">
        <f t="shared" si="15"/>
        <v>56.418749999999996</v>
      </c>
      <c r="AE45" s="205">
        <f t="shared" si="16"/>
        <v>85.28765625</v>
      </c>
      <c r="AF45" s="205">
        <f t="shared" si="16"/>
        <v>528.78346875</v>
      </c>
      <c r="AG45" s="205">
        <f t="shared" si="16"/>
        <v>366.736921875</v>
      </c>
      <c r="AH45" s="206">
        <f t="shared" si="9"/>
        <v>1360.2517968749999</v>
      </c>
      <c r="AI45" s="206">
        <f t="shared" si="5"/>
        <v>5685.84375</v>
      </c>
      <c r="AJ45" s="207">
        <f t="shared" si="10"/>
        <v>7046.095546875</v>
      </c>
      <c r="AK45" s="208"/>
      <c r="AL45" s="221">
        <f t="shared" si="11"/>
        <v>3068.263333333334</v>
      </c>
      <c r="AM45" s="222">
        <f t="shared" si="6"/>
        <v>3977.832213541666</v>
      </c>
      <c r="AN45" s="208"/>
      <c r="AO45" s="227">
        <f t="shared" si="17"/>
        <v>323.025</v>
      </c>
      <c r="AP45" s="227">
        <f t="shared" si="17"/>
        <v>56.418749999999996</v>
      </c>
      <c r="AQ45" s="205">
        <f t="shared" si="12"/>
        <v>85.28765625</v>
      </c>
      <c r="AR45" s="205">
        <f t="shared" si="12"/>
        <v>528.78346875</v>
      </c>
      <c r="AS45" s="205">
        <f t="shared" si="12"/>
        <v>102.91377187500001</v>
      </c>
      <c r="AT45" s="231">
        <f t="shared" si="13"/>
        <v>1096.428646875</v>
      </c>
    </row>
    <row r="46" spans="1:46" ht="11.25" customHeight="1">
      <c r="A46" s="8">
        <v>40</v>
      </c>
      <c r="B46" s="216">
        <v>66</v>
      </c>
      <c r="C46" s="8"/>
      <c r="D46" s="21">
        <v>8</v>
      </c>
      <c r="E46" s="17">
        <f>VLOOKUP(D46,'A13 - Tabelle'!$A$6:$F$13,6)</f>
        <v>60640.31999999999</v>
      </c>
      <c r="F46" s="17">
        <f>VLOOKUP(D46,'A13 - Tabelle'!$A$6:$G$13,7)</f>
        <v>44013.52</v>
      </c>
      <c r="G46" s="18">
        <f t="shared" si="0"/>
        <v>41493.52</v>
      </c>
      <c r="H46" s="19"/>
      <c r="I46" s="16">
        <v>6</v>
      </c>
      <c r="J46" s="17">
        <f>VLOOKUP(I46,'E13 - Tabelle'!$A$7:$L$19,11)</f>
        <v>68230.125</v>
      </c>
      <c r="K46" s="20">
        <f>VLOOKUP(I46,'E13 - Tabelle'!$A$7:$L$19,12)</f>
        <v>36819.16</v>
      </c>
      <c r="L46" s="28">
        <f t="shared" si="1"/>
        <v>-4674.359999999993</v>
      </c>
      <c r="M46" s="32">
        <f t="shared" si="14"/>
        <v>-179135.8899999997</v>
      </c>
      <c r="N46" s="8">
        <v>40</v>
      </c>
      <c r="O46" s="216">
        <v>66</v>
      </c>
      <c r="P46" s="20" t="s">
        <v>144</v>
      </c>
      <c r="Q46" s="47"/>
      <c r="R46" s="71"/>
      <c r="S46" s="197"/>
      <c r="T46" s="204"/>
      <c r="U46" s="370">
        <f t="shared" si="8"/>
        <v>1.8672721674876847</v>
      </c>
      <c r="V46" s="371"/>
      <c r="W46" s="68">
        <v>0.8</v>
      </c>
      <c r="X46" s="370">
        <f t="shared" si="2"/>
        <v>4.548675</v>
      </c>
      <c r="Y46" s="68"/>
      <c r="Z46" s="372"/>
      <c r="AA46" s="197"/>
      <c r="AB46" s="209"/>
      <c r="AC46" s="205">
        <f t="shared" si="15"/>
        <v>323.025</v>
      </c>
      <c r="AD46" s="205">
        <f t="shared" si="15"/>
        <v>56.418749999999996</v>
      </c>
      <c r="AE46" s="205">
        <f t="shared" si="16"/>
        <v>85.28765625</v>
      </c>
      <c r="AF46" s="205">
        <f t="shared" si="16"/>
        <v>528.78346875</v>
      </c>
      <c r="AG46" s="205">
        <f t="shared" si="16"/>
        <v>366.736921875</v>
      </c>
      <c r="AH46" s="206">
        <f t="shared" si="9"/>
        <v>1360.2517968749999</v>
      </c>
      <c r="AI46" s="206">
        <f t="shared" si="5"/>
        <v>5685.84375</v>
      </c>
      <c r="AJ46" s="207">
        <f t="shared" si="10"/>
        <v>7046.095546875</v>
      </c>
      <c r="AK46" s="208"/>
      <c r="AL46" s="221">
        <f t="shared" si="11"/>
        <v>3068.263333333334</v>
      </c>
      <c r="AM46" s="222">
        <f t="shared" si="6"/>
        <v>3977.832213541666</v>
      </c>
      <c r="AN46" s="208"/>
      <c r="AO46" s="227">
        <f t="shared" si="17"/>
        <v>323.025</v>
      </c>
      <c r="AP46" s="227">
        <f t="shared" si="17"/>
        <v>56.418749999999996</v>
      </c>
      <c r="AQ46" s="205">
        <f t="shared" si="12"/>
        <v>85.28765625</v>
      </c>
      <c r="AR46" s="205">
        <f t="shared" si="12"/>
        <v>528.78346875</v>
      </c>
      <c r="AS46" s="205">
        <f t="shared" si="12"/>
        <v>102.91377187500001</v>
      </c>
      <c r="AT46" s="231">
        <f t="shared" si="13"/>
        <v>1096.428646875</v>
      </c>
    </row>
    <row r="47" spans="1:46" s="114" customFormat="1" ht="15.75" thickBot="1">
      <c r="A47" s="108"/>
      <c r="B47" s="108"/>
      <c r="C47" s="108"/>
      <c r="D47" s="105" t="s">
        <v>7</v>
      </c>
      <c r="E47" s="109">
        <f>AVERAGE(E7:E46)</f>
        <v>57409.91100000002</v>
      </c>
      <c r="F47" s="109">
        <f>AVERAGE(F7:F46)</f>
        <v>42192.22325000001</v>
      </c>
      <c r="G47" s="99">
        <f>AVERAGE(G7:G46)</f>
        <v>39672.22325000001</v>
      </c>
      <c r="H47" s="110"/>
      <c r="I47" s="105" t="s">
        <v>7</v>
      </c>
      <c r="J47" s="109">
        <f>AVERAGE(J7:J46)</f>
        <v>64538.328125</v>
      </c>
      <c r="K47" s="106">
        <f>AVERAGE(K7:K46)</f>
        <v>35193.825999999994</v>
      </c>
      <c r="L47" s="111">
        <f>AVERAGE(L7:L46)</f>
        <v>-4478.397249999993</v>
      </c>
      <c r="M47" s="112"/>
      <c r="N47" s="404">
        <f>L47*40</f>
        <v>-179135.88999999972</v>
      </c>
      <c r="O47" s="405"/>
      <c r="P47" s="405"/>
      <c r="Q47" s="113"/>
      <c r="R47" s="115"/>
      <c r="S47" s="229"/>
      <c r="T47" s="210" t="s">
        <v>134</v>
      </c>
      <c r="U47" s="373">
        <f>SUM(U7:U46)</f>
        <v>70.64951081007115</v>
      </c>
      <c r="V47" s="374">
        <f>U47*V5</f>
        <v>2262.903831246579</v>
      </c>
      <c r="W47" s="375"/>
      <c r="X47" s="373">
        <f>SUM(X7:X46)</f>
        <v>279.3899739583334</v>
      </c>
      <c r="Y47" s="376">
        <f>X47*Y5</f>
        <v>1117.5598958333337</v>
      </c>
      <c r="Z47" s="377">
        <f>V47+Y47</f>
        <v>3380.463727079913</v>
      </c>
      <c r="AA47" s="229"/>
      <c r="AB47" s="210" t="s">
        <v>7</v>
      </c>
      <c r="AC47" s="211">
        <f aca="true" t="shared" si="18" ref="AC47:AJ47">AVERAGE(AC7:AC46)</f>
        <v>321.2751671874998</v>
      </c>
      <c r="AD47" s="211">
        <f t="shared" si="18"/>
        <v>56.11312851562501</v>
      </c>
      <c r="AE47" s="211">
        <f t="shared" si="18"/>
        <v>80.67291015625003</v>
      </c>
      <c r="AF47" s="211">
        <f t="shared" si="18"/>
        <v>500.17204296874996</v>
      </c>
      <c r="AG47" s="211">
        <f t="shared" si="18"/>
        <v>346.89351367187464</v>
      </c>
      <c r="AH47" s="212">
        <f t="shared" si="18"/>
        <v>1305.1267625000012</v>
      </c>
      <c r="AI47" s="212">
        <f t="shared" si="18"/>
        <v>5378.194010416667</v>
      </c>
      <c r="AJ47" s="214">
        <f t="shared" si="18"/>
        <v>6683.32077291667</v>
      </c>
      <c r="AK47" s="208"/>
      <c r="AL47" s="223">
        <f>AVERAGE(AL7:AL46)</f>
        <v>2932.8188333333346</v>
      </c>
      <c r="AM47" s="214">
        <f>AVERAGE(AM7:AM46)</f>
        <v>3750.501939583334</v>
      </c>
      <c r="AN47" s="208"/>
      <c r="AO47" s="228">
        <f aca="true" t="shared" si="19" ref="AO47:AT47">AVERAGE(AO7:AO46)</f>
        <v>321.2751671874998</v>
      </c>
      <c r="AP47" s="211">
        <f t="shared" si="19"/>
        <v>56.11312851562501</v>
      </c>
      <c r="AQ47" s="211">
        <f t="shared" si="19"/>
        <v>80.67291015625003</v>
      </c>
      <c r="AR47" s="211">
        <f t="shared" si="19"/>
        <v>500.17204296874996</v>
      </c>
      <c r="AS47" s="211">
        <f t="shared" si="19"/>
        <v>97.3453115885416</v>
      </c>
      <c r="AT47" s="213">
        <f t="shared" si="19"/>
        <v>1055.5785604166665</v>
      </c>
    </row>
    <row r="48" spans="4:46" s="165" customFormat="1" ht="13.5" thickTop="1">
      <c r="D48" s="162" t="s">
        <v>47</v>
      </c>
      <c r="E48" s="163">
        <f>E47/12</f>
        <v>4784.1592500000015</v>
      </c>
      <c r="F48" s="163">
        <f>F47/12</f>
        <v>3516.0186041666675</v>
      </c>
      <c r="G48" s="163">
        <f>G47/12</f>
        <v>3306.0186041666675</v>
      </c>
      <c r="H48" s="163"/>
      <c r="I48" s="164"/>
      <c r="J48" s="163">
        <f>J47/12</f>
        <v>5378.194010416667</v>
      </c>
      <c r="K48" s="163">
        <f>K47/12</f>
        <v>2932.818833333333</v>
      </c>
      <c r="L48" s="163">
        <f>L47/12</f>
        <v>-373.1997708333327</v>
      </c>
      <c r="M48" s="31"/>
      <c r="N48" s="31"/>
      <c r="P48" s="31"/>
      <c r="Q48" s="31"/>
      <c r="R48" s="115"/>
      <c r="S48" s="230"/>
      <c r="T48" s="365"/>
      <c r="U48" s="365"/>
      <c r="V48" s="365"/>
      <c r="W48" s="365"/>
      <c r="X48" s="365"/>
      <c r="AA48" s="230"/>
      <c r="AB48" s="217" t="s">
        <v>58</v>
      </c>
      <c r="AC48" s="215"/>
      <c r="AD48" s="215"/>
      <c r="AE48" s="40" t="s">
        <v>71</v>
      </c>
      <c r="AF48" s="240" t="s">
        <v>73</v>
      </c>
      <c r="AK48" s="161"/>
      <c r="AL48" s="161"/>
      <c r="AM48" s="161"/>
      <c r="AN48" s="161"/>
      <c r="AO48" s="161"/>
      <c r="AP48" s="161"/>
      <c r="AQ48" s="161"/>
      <c r="AR48" s="161"/>
      <c r="AS48" s="161"/>
      <c r="AT48" s="161"/>
    </row>
    <row r="49" spans="1:46" ht="12.75">
      <c r="A49" s="70"/>
      <c r="B49" s="70"/>
      <c r="C49" s="70"/>
      <c r="D49" s="71"/>
      <c r="E49" s="267"/>
      <c r="F49" s="72"/>
      <c r="G49" s="73"/>
      <c r="H49" s="74"/>
      <c r="I49" s="71"/>
      <c r="J49" s="267"/>
      <c r="K49" s="73"/>
      <c r="L49" s="75"/>
      <c r="M49" s="75"/>
      <c r="N49" s="76"/>
      <c r="O49" s="70"/>
      <c r="P49" s="77"/>
      <c r="Q49" s="77"/>
      <c r="R49" s="71"/>
      <c r="S49" s="197"/>
      <c r="AA49" s="197"/>
      <c r="AB49" s="40" t="s">
        <v>70</v>
      </c>
      <c r="AC49" s="218"/>
      <c r="AD49" s="218"/>
      <c r="AE49" s="218"/>
      <c r="AF49" s="218"/>
      <c r="AG49" s="218"/>
      <c r="AH49" s="216"/>
      <c r="AI49" s="216"/>
      <c r="AJ49" s="215"/>
      <c r="AK49" s="215"/>
      <c r="AL49" s="40"/>
      <c r="AM49" s="240" t="s">
        <v>72</v>
      </c>
      <c r="AN49" s="215"/>
      <c r="AP49" s="215"/>
      <c r="AQ49" s="215"/>
      <c r="AR49" s="240" t="s">
        <v>74</v>
      </c>
      <c r="AS49" s="215"/>
      <c r="AT49" s="216"/>
    </row>
  </sheetData>
  <sheetProtection/>
  <mergeCells count="3">
    <mergeCell ref="D5:G5"/>
    <mergeCell ref="I5:M5"/>
    <mergeCell ref="N47:P47"/>
  </mergeCells>
  <hyperlinks>
    <hyperlink ref="AM49" r:id="rId1" display="http://www.aok-bv.de/zahlen/gesundheitswesen/index_00529.html"/>
    <hyperlink ref="AR49" r:id="rId2" display="http://www.lohn-info.de/beitragsberechnung.html"/>
  </hyperlinks>
  <printOptions/>
  <pageMargins left="0.4" right="0.18" top="0.19" bottom="0.2" header="0.19" footer="0.17"/>
  <pageSetup horizontalDpi="600" verticalDpi="600" orientation="landscape" paperSize="9" r:id="rId3"/>
</worksheet>
</file>

<file path=xl/worksheets/sheet8.xml><?xml version="1.0" encoding="utf-8"?>
<worksheet xmlns="http://schemas.openxmlformats.org/spreadsheetml/2006/main" xmlns:r="http://schemas.openxmlformats.org/officeDocument/2006/relationships">
  <dimension ref="A1:AW49"/>
  <sheetViews>
    <sheetView zoomScale="80" zoomScaleNormal="80" zoomScalePageLayoutView="0" workbookViewId="0" topLeftCell="A1">
      <selection activeCell="S22" sqref="S22"/>
    </sheetView>
  </sheetViews>
  <sheetFormatPr defaultColWidth="11.421875" defaultRowHeight="12.75"/>
  <cols>
    <col min="1" max="1" width="5.28125" style="5" customWidth="1"/>
    <col min="2" max="2" width="3.8515625" style="5" customWidth="1"/>
    <col min="3" max="3" width="2.28125" style="5" customWidth="1"/>
    <col min="4" max="4" width="4.421875" style="0" customWidth="1"/>
    <col min="5" max="5" width="11.00390625" style="1" customWidth="1"/>
    <col min="6" max="6" width="11.140625" style="6" customWidth="1"/>
    <col min="7" max="7" width="13.7109375" style="4" customWidth="1"/>
    <col min="8" max="8" width="2.421875" style="7" customWidth="1"/>
    <col min="9" max="9" width="4.140625" style="0" customWidth="1"/>
    <col min="10" max="10" width="11.421875" style="1" customWidth="1"/>
    <col min="11" max="11" width="11.57421875" style="4" customWidth="1"/>
    <col min="12" max="12" width="11.28125" style="26" customWidth="1"/>
    <col min="13" max="13" width="11.8515625" style="26" customWidth="1"/>
    <col min="14" max="14" width="5.57421875" style="6" customWidth="1"/>
    <col min="15" max="15" width="5.7109375" style="5" customWidth="1"/>
    <col min="16" max="16" width="11.421875" style="30" customWidth="1"/>
    <col min="17" max="17" width="3.57421875" style="30" customWidth="1"/>
    <col min="18" max="18" width="3.140625" style="0" customWidth="1"/>
    <col min="19" max="19" width="3.28125" style="0" customWidth="1"/>
    <col min="20" max="20" width="2.28125" style="197" customWidth="1"/>
    <col min="21" max="21" width="11.28125" style="197" customWidth="1"/>
    <col min="22" max="22" width="11.421875" style="197" customWidth="1"/>
    <col min="23" max="23" width="6.28125" style="197" customWidth="1"/>
    <col min="24" max="24" width="10.28125" style="197" customWidth="1"/>
    <col min="27" max="27" width="3.421875" style="0" customWidth="1"/>
    <col min="28" max="28" width="4.140625" style="0" customWidth="1"/>
    <col min="35" max="35" width="11.8515625" style="0" customWidth="1"/>
    <col min="37" max="37" width="3.57421875" style="0" customWidth="1"/>
    <col min="38" max="38" width="12.140625" style="0" customWidth="1"/>
    <col min="40" max="40" width="3.28125" style="0" customWidth="1"/>
  </cols>
  <sheetData>
    <row r="1" spans="4:46" ht="12.75" customHeight="1">
      <c r="D1" s="34" t="s">
        <v>12</v>
      </c>
      <c r="O1" s="22" t="s">
        <v>123</v>
      </c>
      <c r="P1" s="33">
        <v>210</v>
      </c>
      <c r="Q1" s="33"/>
      <c r="R1" s="71"/>
      <c r="S1" s="197"/>
      <c r="U1" s="197" t="s">
        <v>130</v>
      </c>
      <c r="V1" s="367" t="s">
        <v>132</v>
      </c>
      <c r="W1" s="367"/>
      <c r="Y1" s="367" t="s">
        <v>137</v>
      </c>
      <c r="AA1" s="197"/>
      <c r="AB1" s="197"/>
      <c r="AC1" s="2" t="s">
        <v>50</v>
      </c>
      <c r="AF1" s="239" t="s">
        <v>127</v>
      </c>
      <c r="AH1" s="198"/>
      <c r="AI1" s="198"/>
      <c r="AJ1" s="208">
        <v>53100</v>
      </c>
      <c r="AK1" s="117" t="s">
        <v>128</v>
      </c>
      <c r="AM1" s="137"/>
      <c r="AN1" s="2"/>
      <c r="AO1" s="2" t="s">
        <v>60</v>
      </c>
      <c r="AT1" s="198"/>
    </row>
    <row r="2" spans="18:46" ht="2.25" customHeight="1">
      <c r="R2" s="71"/>
      <c r="S2" s="197"/>
      <c r="Y2" s="197"/>
      <c r="AA2" s="197"/>
      <c r="AB2" s="197"/>
      <c r="AH2" s="198"/>
      <c r="AI2" s="198"/>
      <c r="AJ2" s="2"/>
      <c r="AK2" s="117"/>
      <c r="AL2" s="117"/>
      <c r="AM2" s="137"/>
      <c r="AN2" s="2"/>
      <c r="AT2" s="198"/>
    </row>
    <row r="3" spans="1:46" ht="12.75">
      <c r="A3" s="8"/>
      <c r="B3" s="8"/>
      <c r="C3" s="8"/>
      <c r="D3" s="40" t="s">
        <v>124</v>
      </c>
      <c r="E3" s="10"/>
      <c r="F3" s="10"/>
      <c r="G3" s="11"/>
      <c r="H3" s="12"/>
      <c r="I3" s="9"/>
      <c r="J3" s="10"/>
      <c r="K3" s="11"/>
      <c r="L3" s="27"/>
      <c r="M3" s="27"/>
      <c r="N3" s="23"/>
      <c r="O3" s="8"/>
      <c r="P3" s="31"/>
      <c r="Q3" s="31"/>
      <c r="R3" s="71"/>
      <c r="S3" s="197"/>
      <c r="U3" s="367" t="s">
        <v>141</v>
      </c>
      <c r="V3" s="369" t="s">
        <v>140</v>
      </c>
      <c r="Y3" s="367" t="s">
        <v>142</v>
      </c>
      <c r="AA3" s="197"/>
      <c r="AB3" s="197"/>
      <c r="AC3" t="s">
        <v>49</v>
      </c>
      <c r="AD3" t="s">
        <v>49</v>
      </c>
      <c r="AE3" t="s">
        <v>49</v>
      </c>
      <c r="AF3" t="s">
        <v>49</v>
      </c>
      <c r="AG3" t="s">
        <v>49</v>
      </c>
      <c r="AH3" s="198"/>
      <c r="AI3" s="198" t="s">
        <v>129</v>
      </c>
      <c r="AJ3" s="208">
        <v>78000</v>
      </c>
      <c r="AK3" s="117" t="s">
        <v>128</v>
      </c>
      <c r="AL3" s="117"/>
      <c r="AM3" s="137"/>
      <c r="AN3" s="2"/>
      <c r="AO3" t="s">
        <v>49</v>
      </c>
      <c r="AP3" t="s">
        <v>49</v>
      </c>
      <c r="AQ3" t="s">
        <v>49</v>
      </c>
      <c r="AR3" t="s">
        <v>49</v>
      </c>
      <c r="AS3" t="s">
        <v>49</v>
      </c>
      <c r="AT3" s="198"/>
    </row>
    <row r="4" spans="1:46" ht="3" customHeight="1">
      <c r="A4" s="8"/>
      <c r="B4" s="8"/>
      <c r="C4" s="8"/>
      <c r="D4" s="9"/>
      <c r="E4" s="10"/>
      <c r="F4" s="10"/>
      <c r="G4" s="11"/>
      <c r="H4" s="12"/>
      <c r="I4" s="9"/>
      <c r="J4" s="10"/>
      <c r="K4" s="11"/>
      <c r="L4" s="27"/>
      <c r="M4" s="27"/>
      <c r="N4" s="23"/>
      <c r="O4" s="8"/>
      <c r="P4" s="31"/>
      <c r="Q4" s="31"/>
      <c r="R4" s="71"/>
      <c r="S4" s="197"/>
      <c r="Y4" s="197"/>
      <c r="AA4" s="197"/>
      <c r="AB4" s="197"/>
      <c r="AH4" s="198"/>
      <c r="AI4" s="198"/>
      <c r="AJ4" s="2"/>
      <c r="AK4" s="2"/>
      <c r="AL4" s="117"/>
      <c r="AM4" s="137"/>
      <c r="AN4" s="2"/>
      <c r="AT4" s="198"/>
    </row>
    <row r="5" spans="1:46" ht="35.25" customHeight="1">
      <c r="A5" s="8"/>
      <c r="B5" s="8"/>
      <c r="C5" s="8"/>
      <c r="D5" s="398" t="s">
        <v>103</v>
      </c>
      <c r="E5" s="399"/>
      <c r="F5" s="399"/>
      <c r="G5" s="400"/>
      <c r="H5" s="25"/>
      <c r="I5" s="401" t="s">
        <v>104</v>
      </c>
      <c r="J5" s="402"/>
      <c r="K5" s="402"/>
      <c r="L5" s="402"/>
      <c r="M5" s="403"/>
      <c r="N5" s="58"/>
      <c r="O5" s="8"/>
      <c r="P5" s="58"/>
      <c r="Q5" s="58"/>
      <c r="R5" s="71"/>
      <c r="S5" s="197"/>
      <c r="U5" s="366">
        <v>3045</v>
      </c>
      <c r="V5" s="368">
        <v>32.03</v>
      </c>
      <c r="W5" s="368"/>
      <c r="Y5" s="368">
        <v>4</v>
      </c>
      <c r="AA5" s="197"/>
      <c r="AB5" s="197"/>
      <c r="AC5" s="219">
        <v>0.073</v>
      </c>
      <c r="AD5" s="220">
        <v>0.01275</v>
      </c>
      <c r="AE5" s="219">
        <v>0.015</v>
      </c>
      <c r="AF5" s="219">
        <v>0.093</v>
      </c>
      <c r="AG5" s="219">
        <v>0.0645</v>
      </c>
      <c r="AH5" s="219">
        <f>SUM(AC5:AG5)</f>
        <v>0.25825</v>
      </c>
      <c r="AI5" s="198"/>
      <c r="AJ5" s="2"/>
      <c r="AK5" s="2"/>
      <c r="AL5" s="117"/>
      <c r="AM5" s="137"/>
      <c r="AN5" s="2"/>
      <c r="AO5" s="219">
        <v>0.073</v>
      </c>
      <c r="AP5" s="220">
        <v>0.01275</v>
      </c>
      <c r="AQ5" s="219">
        <v>0.015</v>
      </c>
      <c r="AR5" s="219">
        <v>0.093</v>
      </c>
      <c r="AS5" s="219">
        <v>0.0181</v>
      </c>
      <c r="AT5" s="219">
        <f>SUM(AO5:AS5)</f>
        <v>0.21184999999999998</v>
      </c>
    </row>
    <row r="6" spans="1:46" ht="33" customHeight="1">
      <c r="A6" s="107" t="s">
        <v>29</v>
      </c>
      <c r="B6" s="13" t="s">
        <v>1</v>
      </c>
      <c r="C6" s="13"/>
      <c r="D6" s="59" t="s">
        <v>2</v>
      </c>
      <c r="E6" s="60" t="s">
        <v>4</v>
      </c>
      <c r="F6" s="60" t="s">
        <v>3</v>
      </c>
      <c r="G6" s="61" t="s">
        <v>23</v>
      </c>
      <c r="H6" s="15"/>
      <c r="I6" s="59" t="s">
        <v>2</v>
      </c>
      <c r="J6" s="60" t="s">
        <v>5</v>
      </c>
      <c r="K6" s="62" t="s">
        <v>6</v>
      </c>
      <c r="L6" s="63" t="s">
        <v>8</v>
      </c>
      <c r="M6" s="64" t="s">
        <v>24</v>
      </c>
      <c r="N6" s="107" t="s">
        <v>29</v>
      </c>
      <c r="O6" s="13" t="s">
        <v>1</v>
      </c>
      <c r="P6" s="48"/>
      <c r="Q6" s="48"/>
      <c r="R6" s="71"/>
      <c r="S6" s="197"/>
      <c r="T6" s="378"/>
      <c r="U6" s="379" t="s">
        <v>131</v>
      </c>
      <c r="V6" s="380" t="s">
        <v>133</v>
      </c>
      <c r="W6" s="380" t="s">
        <v>135</v>
      </c>
      <c r="X6" s="381" t="s">
        <v>136</v>
      </c>
      <c r="Y6" s="380" t="s">
        <v>138</v>
      </c>
      <c r="Z6" s="382" t="s">
        <v>139</v>
      </c>
      <c r="AA6" s="197"/>
      <c r="AB6" s="199"/>
      <c r="AC6" s="200" t="s">
        <v>62</v>
      </c>
      <c r="AD6" s="200" t="s">
        <v>51</v>
      </c>
      <c r="AE6" s="200" t="s">
        <v>75</v>
      </c>
      <c r="AF6" s="200" t="s">
        <v>76</v>
      </c>
      <c r="AG6" s="200" t="s">
        <v>61</v>
      </c>
      <c r="AH6" s="201" t="s">
        <v>54</v>
      </c>
      <c r="AI6" s="201" t="s">
        <v>69</v>
      </c>
      <c r="AJ6" s="202" t="s">
        <v>56</v>
      </c>
      <c r="AK6" s="203"/>
      <c r="AL6" s="224" t="s">
        <v>57</v>
      </c>
      <c r="AM6" s="225" t="s">
        <v>59</v>
      </c>
      <c r="AN6" s="203"/>
      <c r="AO6" s="226" t="s">
        <v>62</v>
      </c>
      <c r="AP6" s="200" t="s">
        <v>51</v>
      </c>
      <c r="AQ6" s="200" t="s">
        <v>52</v>
      </c>
      <c r="AR6" s="200" t="s">
        <v>53</v>
      </c>
      <c r="AS6" s="200" t="s">
        <v>61</v>
      </c>
      <c r="AT6" s="232" t="s">
        <v>54</v>
      </c>
    </row>
    <row r="7" spans="1:46" ht="11.25" customHeight="1">
      <c r="A7" s="8">
        <v>1</v>
      </c>
      <c r="B7" s="8">
        <v>27</v>
      </c>
      <c r="C7" s="8"/>
      <c r="D7" s="346">
        <v>1</v>
      </c>
      <c r="E7" s="17">
        <f>VLOOKUP(D7,'A13 - Tabelle'!$A$6:$F$13,6)</f>
        <v>47088.24</v>
      </c>
      <c r="F7" s="17">
        <f>VLOOKUP(D7,'A13 - Tabelle'!$A$6:$G$13,7)</f>
        <v>36235.46</v>
      </c>
      <c r="G7" s="18">
        <f aca="true" t="shared" si="0" ref="G7:G46">F7-12*$P$1</f>
        <v>33715.46</v>
      </c>
      <c r="H7" s="19"/>
      <c r="I7" s="16">
        <v>1</v>
      </c>
      <c r="J7" s="17">
        <f>VLOOKUP(I7,'E13 - Tabelle'!$A$7:$L$19,11)</f>
        <v>45900.25</v>
      </c>
      <c r="K7" s="20">
        <f>VLOOKUP(I7,'E13 - Tabelle'!$A$7:$L$19,12)</f>
        <v>26935.23</v>
      </c>
      <c r="L7" s="28">
        <f aca="true" t="shared" si="1" ref="L7:L46">K7-G7</f>
        <v>-6780.23</v>
      </c>
      <c r="M7" s="32">
        <f>L7</f>
        <v>-6780.23</v>
      </c>
      <c r="N7" s="8">
        <v>1</v>
      </c>
      <c r="O7" s="8">
        <v>27</v>
      </c>
      <c r="P7" s="47"/>
      <c r="Q7" s="47"/>
      <c r="R7" s="71"/>
      <c r="S7" s="197"/>
      <c r="T7" s="204"/>
      <c r="U7" s="370">
        <f>J7/(U$5*12)</f>
        <v>1.256164477285167</v>
      </c>
      <c r="V7" s="371"/>
      <c r="W7" s="68">
        <v>2.2</v>
      </c>
      <c r="X7" s="370">
        <f aca="true" t="shared" si="2" ref="X7:X46">J7/12/1000*W7</f>
        <v>8.415045833333334</v>
      </c>
      <c r="Y7" s="68"/>
      <c r="Z7" s="372"/>
      <c r="AA7" s="197"/>
      <c r="AB7" s="204"/>
      <c r="AC7" s="205">
        <f aca="true" t="shared" si="3" ref="AC7:AD26">IF(($J7&lt;$AJ$1),$J7/12*AC$5,$AJ$1/12*AC$5)</f>
        <v>279.2265208333333</v>
      </c>
      <c r="AD7" s="205">
        <f t="shared" si="3"/>
        <v>48.769015625</v>
      </c>
      <c r="AE7" s="205">
        <f aca="true" t="shared" si="4" ref="AE7:AG26">$J7/12*AE$5</f>
        <v>57.3753125</v>
      </c>
      <c r="AF7" s="205">
        <f t="shared" si="4"/>
        <v>355.7269375</v>
      </c>
      <c r="AG7" s="205">
        <f t="shared" si="4"/>
        <v>246.71384375000002</v>
      </c>
      <c r="AH7" s="206">
        <f>SUM(AC7:AG7)</f>
        <v>987.8116302083333</v>
      </c>
      <c r="AI7" s="206">
        <f aca="true" t="shared" si="5" ref="AI7:AI46">J7/12</f>
        <v>3825.0208333333335</v>
      </c>
      <c r="AJ7" s="207">
        <f>AI7+AH7</f>
        <v>4812.832463541667</v>
      </c>
      <c r="AK7" s="208"/>
      <c r="AL7" s="221">
        <f>K7/12</f>
        <v>2244.6025</v>
      </c>
      <c r="AM7" s="222">
        <f aca="true" t="shared" si="6" ref="AM7:AM46">AJ7-AL7</f>
        <v>2568.2299635416666</v>
      </c>
      <c r="AN7" s="208"/>
      <c r="AO7" s="227">
        <f aca="true" t="shared" si="7" ref="AO7:AP26">IF(($J7&lt;$AJ$1),$J7/12*AO$5,$AJ$1/12*AO$5)</f>
        <v>279.2265208333333</v>
      </c>
      <c r="AP7" s="227">
        <f t="shared" si="7"/>
        <v>48.769015625</v>
      </c>
      <c r="AQ7" s="205">
        <f>$J7/12*AQ$5</f>
        <v>57.3753125</v>
      </c>
      <c r="AR7" s="205">
        <f>$J7/12*AR$5</f>
        <v>355.7269375</v>
      </c>
      <c r="AS7" s="205">
        <f>$J7/12*AS$5</f>
        <v>69.23287708333334</v>
      </c>
      <c r="AT7" s="231">
        <f>SUM(AO7:AS7)</f>
        <v>810.3306635416666</v>
      </c>
    </row>
    <row r="8" spans="1:46" ht="11.25" customHeight="1">
      <c r="A8" s="8">
        <v>2</v>
      </c>
      <c r="B8" s="8">
        <v>28</v>
      </c>
      <c r="C8" s="8"/>
      <c r="D8" s="346">
        <v>2</v>
      </c>
      <c r="E8" s="17">
        <f>VLOOKUP(D8,'A13 - Tabelle'!$A$6:$F$13,6)</f>
        <v>49409.64</v>
      </c>
      <c r="F8" s="17">
        <f>VLOOKUP(D8,'A13 - Tabelle'!$A$6:$G$13,7)</f>
        <v>37624.24</v>
      </c>
      <c r="G8" s="18">
        <f t="shared" si="0"/>
        <v>35104.24</v>
      </c>
      <c r="H8" s="19"/>
      <c r="I8" s="16">
        <v>2</v>
      </c>
      <c r="J8" s="17">
        <f>VLOOKUP(I8,'E13 - Tabelle'!$A$7:$L$19,11)</f>
        <v>50947</v>
      </c>
      <c r="K8" s="20">
        <f>VLOOKUP(I8,'E13 - Tabelle'!$A$7:$L$19,12)</f>
        <v>29105.25</v>
      </c>
      <c r="L8" s="28">
        <f t="shared" si="1"/>
        <v>-5998.989999999998</v>
      </c>
      <c r="M8" s="32">
        <f>L8+M7</f>
        <v>-12779.219999999998</v>
      </c>
      <c r="N8" s="8">
        <v>2</v>
      </c>
      <c r="O8" s="8">
        <v>28</v>
      </c>
      <c r="P8" s="47"/>
      <c r="Q8" s="47"/>
      <c r="R8" s="71"/>
      <c r="S8" s="197"/>
      <c r="T8" s="204"/>
      <c r="U8" s="370">
        <f aca="true" t="shared" si="8" ref="U8:U46">J8/(U$5*12)</f>
        <v>1.394280240831965</v>
      </c>
      <c r="V8" s="371"/>
      <c r="W8" s="68">
        <v>2.2</v>
      </c>
      <c r="X8" s="370">
        <f t="shared" si="2"/>
        <v>9.340283333333334</v>
      </c>
      <c r="Y8" s="68"/>
      <c r="Z8" s="372"/>
      <c r="AA8" s="197"/>
      <c r="AB8" s="204"/>
      <c r="AC8" s="205">
        <f t="shared" si="3"/>
        <v>309.9275833333333</v>
      </c>
      <c r="AD8" s="205">
        <f t="shared" si="3"/>
        <v>54.131187499999996</v>
      </c>
      <c r="AE8" s="205">
        <f t="shared" si="4"/>
        <v>63.683749999999996</v>
      </c>
      <c r="AF8" s="205">
        <f t="shared" si="4"/>
        <v>394.83925</v>
      </c>
      <c r="AG8" s="205">
        <f t="shared" si="4"/>
        <v>273.840125</v>
      </c>
      <c r="AH8" s="206">
        <f aca="true" t="shared" si="9" ref="AH8:AH46">SUM(AC8:AG8)</f>
        <v>1096.4218958333333</v>
      </c>
      <c r="AI8" s="206">
        <f t="shared" si="5"/>
        <v>4245.583333333333</v>
      </c>
      <c r="AJ8" s="207">
        <f aca="true" t="shared" si="10" ref="AJ8:AJ46">AI8+AH8</f>
        <v>5342.005229166666</v>
      </c>
      <c r="AK8" s="208"/>
      <c r="AL8" s="221">
        <f aca="true" t="shared" si="11" ref="AL8:AL46">K8/12</f>
        <v>2425.4375</v>
      </c>
      <c r="AM8" s="222">
        <f t="shared" si="6"/>
        <v>2916.567729166666</v>
      </c>
      <c r="AN8" s="208"/>
      <c r="AO8" s="227">
        <f t="shared" si="7"/>
        <v>309.9275833333333</v>
      </c>
      <c r="AP8" s="227">
        <f t="shared" si="7"/>
        <v>54.131187499999996</v>
      </c>
      <c r="AQ8" s="205">
        <f aca="true" t="shared" si="12" ref="AQ8:AS46">$J8/12*AQ$5</f>
        <v>63.683749999999996</v>
      </c>
      <c r="AR8" s="205">
        <f t="shared" si="12"/>
        <v>394.83925</v>
      </c>
      <c r="AS8" s="205">
        <f t="shared" si="12"/>
        <v>76.84505833333334</v>
      </c>
      <c r="AT8" s="231">
        <f aca="true" t="shared" si="13" ref="AT8:AT46">SUM(AO8:AS8)</f>
        <v>899.4268291666666</v>
      </c>
    </row>
    <row r="9" spans="1:46" ht="11.25" customHeight="1">
      <c r="A9" s="8">
        <v>3</v>
      </c>
      <c r="B9" s="8">
        <v>29</v>
      </c>
      <c r="C9" s="8"/>
      <c r="D9" s="346">
        <v>2</v>
      </c>
      <c r="E9" s="17">
        <f>VLOOKUP(D9,'A13 - Tabelle'!$A$6:$F$13,6)</f>
        <v>49409.64</v>
      </c>
      <c r="F9" s="17">
        <f>VLOOKUP(D9,'A13 - Tabelle'!$A$6:$G$13,7)</f>
        <v>37624.24</v>
      </c>
      <c r="G9" s="18">
        <f t="shared" si="0"/>
        <v>35104.24</v>
      </c>
      <c r="H9" s="19"/>
      <c r="I9" s="16">
        <v>2</v>
      </c>
      <c r="J9" s="17">
        <f>VLOOKUP(I9,'E13 - Tabelle'!$A$7:$L$19,11)</f>
        <v>50947</v>
      </c>
      <c r="K9" s="20">
        <f>VLOOKUP(I9,'E13 - Tabelle'!$A$7:$L$19,12)</f>
        <v>29105.25</v>
      </c>
      <c r="L9" s="28">
        <f t="shared" si="1"/>
        <v>-5998.989999999998</v>
      </c>
      <c r="M9" s="32">
        <f aca="true" t="shared" si="14" ref="M9:M46">L9+M8</f>
        <v>-18778.209999999995</v>
      </c>
      <c r="N9" s="8">
        <v>3</v>
      </c>
      <c r="O9" s="8">
        <v>29</v>
      </c>
      <c r="P9" s="47"/>
      <c r="Q9" s="47"/>
      <c r="R9" s="71"/>
      <c r="S9" s="197"/>
      <c r="T9" s="204"/>
      <c r="U9" s="370">
        <f t="shared" si="8"/>
        <v>1.394280240831965</v>
      </c>
      <c r="V9" s="371"/>
      <c r="W9" s="68">
        <v>2.1</v>
      </c>
      <c r="X9" s="370">
        <f t="shared" si="2"/>
        <v>8.915725</v>
      </c>
      <c r="Y9" s="68"/>
      <c r="Z9" s="372"/>
      <c r="AA9" s="197"/>
      <c r="AB9" s="204"/>
      <c r="AC9" s="205">
        <f t="shared" si="3"/>
        <v>309.9275833333333</v>
      </c>
      <c r="AD9" s="205">
        <f t="shared" si="3"/>
        <v>54.131187499999996</v>
      </c>
      <c r="AE9" s="205">
        <f t="shared" si="4"/>
        <v>63.683749999999996</v>
      </c>
      <c r="AF9" s="205">
        <f t="shared" si="4"/>
        <v>394.83925</v>
      </c>
      <c r="AG9" s="205">
        <f t="shared" si="4"/>
        <v>273.840125</v>
      </c>
      <c r="AH9" s="206">
        <f t="shared" si="9"/>
        <v>1096.4218958333333</v>
      </c>
      <c r="AI9" s="206">
        <f t="shared" si="5"/>
        <v>4245.583333333333</v>
      </c>
      <c r="AJ9" s="207">
        <f t="shared" si="10"/>
        <v>5342.005229166666</v>
      </c>
      <c r="AK9" s="208"/>
      <c r="AL9" s="221">
        <f t="shared" si="11"/>
        <v>2425.4375</v>
      </c>
      <c r="AM9" s="222">
        <f t="shared" si="6"/>
        <v>2916.567729166666</v>
      </c>
      <c r="AN9" s="208"/>
      <c r="AO9" s="227">
        <f t="shared" si="7"/>
        <v>309.9275833333333</v>
      </c>
      <c r="AP9" s="227">
        <f t="shared" si="7"/>
        <v>54.131187499999996</v>
      </c>
      <c r="AQ9" s="205">
        <f t="shared" si="12"/>
        <v>63.683749999999996</v>
      </c>
      <c r="AR9" s="205">
        <f t="shared" si="12"/>
        <v>394.83925</v>
      </c>
      <c r="AS9" s="205">
        <f t="shared" si="12"/>
        <v>76.84505833333334</v>
      </c>
      <c r="AT9" s="231">
        <f t="shared" si="13"/>
        <v>899.4268291666666</v>
      </c>
    </row>
    <row r="10" spans="1:46" ht="11.25" customHeight="1">
      <c r="A10" s="8">
        <v>4</v>
      </c>
      <c r="B10" s="8">
        <v>30</v>
      </c>
      <c r="C10" s="8"/>
      <c r="D10" s="346">
        <v>2</v>
      </c>
      <c r="E10" s="17">
        <f>VLOOKUP(D10,'A13 - Tabelle'!$A$6:$F$13,6)</f>
        <v>49409.64</v>
      </c>
      <c r="F10" s="17">
        <f>VLOOKUP(D10,'A13 - Tabelle'!$A$6:$G$13,7)</f>
        <v>37624.24</v>
      </c>
      <c r="G10" s="18">
        <f t="shared" si="0"/>
        <v>35104.24</v>
      </c>
      <c r="H10" s="19"/>
      <c r="I10" s="16">
        <v>3</v>
      </c>
      <c r="J10" s="17">
        <f>VLOOKUP(I10,'E13 - Tabelle'!$A$7:$L$19,11)</f>
        <v>53664.625</v>
      </c>
      <c r="K10" s="20">
        <f>VLOOKUP(I10,'E13 - Tabelle'!$A$7:$L$19,12)</f>
        <v>30360.43</v>
      </c>
      <c r="L10" s="28">
        <f t="shared" si="1"/>
        <v>-4743.809999999998</v>
      </c>
      <c r="M10" s="32">
        <f t="shared" si="14"/>
        <v>-23522.019999999993</v>
      </c>
      <c r="N10" s="8">
        <v>4</v>
      </c>
      <c r="O10" s="8">
        <v>30</v>
      </c>
      <c r="P10" s="47"/>
      <c r="Q10" s="47"/>
      <c r="R10" s="71"/>
      <c r="S10" s="197"/>
      <c r="T10" s="204"/>
      <c r="U10" s="370">
        <f t="shared" si="8"/>
        <v>1.468654214559387</v>
      </c>
      <c r="V10" s="371"/>
      <c r="W10" s="68">
        <v>2</v>
      </c>
      <c r="X10" s="370">
        <f t="shared" si="2"/>
        <v>8.944104166666666</v>
      </c>
      <c r="Y10" s="68"/>
      <c r="Z10" s="372"/>
      <c r="AA10" s="197"/>
      <c r="AB10" s="204"/>
      <c r="AC10" s="205">
        <f t="shared" si="3"/>
        <v>323.025</v>
      </c>
      <c r="AD10" s="205">
        <f t="shared" si="3"/>
        <v>56.418749999999996</v>
      </c>
      <c r="AE10" s="205">
        <f t="shared" si="4"/>
        <v>67.08078124999999</v>
      </c>
      <c r="AF10" s="205">
        <f t="shared" si="4"/>
        <v>415.90084375</v>
      </c>
      <c r="AG10" s="205">
        <f t="shared" si="4"/>
        <v>288.44735937499996</v>
      </c>
      <c r="AH10" s="206">
        <f t="shared" si="9"/>
        <v>1150.872734375</v>
      </c>
      <c r="AI10" s="206">
        <f t="shared" si="5"/>
        <v>4472.052083333333</v>
      </c>
      <c r="AJ10" s="207">
        <f t="shared" si="10"/>
        <v>5622.924817708333</v>
      </c>
      <c r="AK10" s="208"/>
      <c r="AL10" s="221">
        <f t="shared" si="11"/>
        <v>2530.0358333333334</v>
      </c>
      <c r="AM10" s="222">
        <f t="shared" si="6"/>
        <v>3092.8889843749994</v>
      </c>
      <c r="AN10" s="208"/>
      <c r="AO10" s="227">
        <f t="shared" si="7"/>
        <v>323.025</v>
      </c>
      <c r="AP10" s="227">
        <f t="shared" si="7"/>
        <v>56.418749999999996</v>
      </c>
      <c r="AQ10" s="205">
        <f t="shared" si="12"/>
        <v>67.08078124999999</v>
      </c>
      <c r="AR10" s="205">
        <f t="shared" si="12"/>
        <v>415.90084375</v>
      </c>
      <c r="AS10" s="205">
        <f t="shared" si="12"/>
        <v>80.94414270833333</v>
      </c>
      <c r="AT10" s="231">
        <f t="shared" si="13"/>
        <v>943.3695177083332</v>
      </c>
    </row>
    <row r="11" spans="1:46" ht="11.25" customHeight="1">
      <c r="A11" s="8">
        <v>5</v>
      </c>
      <c r="B11" s="8">
        <v>31</v>
      </c>
      <c r="C11" s="8"/>
      <c r="D11" s="346">
        <v>3</v>
      </c>
      <c r="E11" s="17">
        <f>VLOOKUP(D11,'A13 - Tabelle'!$A$6:$F$13,6)</f>
        <v>51730.799999999996</v>
      </c>
      <c r="F11" s="17">
        <f>VLOOKUP(D11,'A13 - Tabelle'!$A$6:$G$13,7)</f>
        <v>38986.4</v>
      </c>
      <c r="G11" s="18">
        <f t="shared" si="0"/>
        <v>36466.4</v>
      </c>
      <c r="H11" s="19"/>
      <c r="I11" s="16">
        <v>3</v>
      </c>
      <c r="J11" s="17">
        <f>VLOOKUP(I11,'E13 - Tabelle'!$A$7:$L$19,11)</f>
        <v>53664.625</v>
      </c>
      <c r="K11" s="20">
        <f>VLOOKUP(I11,'E13 - Tabelle'!$A$7:$L$19,12)</f>
        <v>30360.43</v>
      </c>
      <c r="L11" s="28">
        <f t="shared" si="1"/>
        <v>-6105.970000000001</v>
      </c>
      <c r="M11" s="32">
        <f t="shared" si="14"/>
        <v>-29627.989999999994</v>
      </c>
      <c r="N11" s="8">
        <v>5</v>
      </c>
      <c r="O11" s="8">
        <v>31</v>
      </c>
      <c r="P11" s="47"/>
      <c r="Q11" s="47"/>
      <c r="R11" s="71"/>
      <c r="S11" s="197"/>
      <c r="T11" s="204"/>
      <c r="U11" s="370">
        <f t="shared" si="8"/>
        <v>1.468654214559387</v>
      </c>
      <c r="V11" s="371"/>
      <c r="W11" s="68">
        <v>2</v>
      </c>
      <c r="X11" s="370">
        <f t="shared" si="2"/>
        <v>8.944104166666666</v>
      </c>
      <c r="Y11" s="68"/>
      <c r="Z11" s="372"/>
      <c r="AA11" s="197"/>
      <c r="AB11" s="204"/>
      <c r="AC11" s="205">
        <f t="shared" si="3"/>
        <v>323.025</v>
      </c>
      <c r="AD11" s="205">
        <f t="shared" si="3"/>
        <v>56.418749999999996</v>
      </c>
      <c r="AE11" s="205">
        <f t="shared" si="4"/>
        <v>67.08078124999999</v>
      </c>
      <c r="AF11" s="205">
        <f t="shared" si="4"/>
        <v>415.90084375</v>
      </c>
      <c r="AG11" s="205">
        <f t="shared" si="4"/>
        <v>288.44735937499996</v>
      </c>
      <c r="AH11" s="206">
        <f t="shared" si="9"/>
        <v>1150.872734375</v>
      </c>
      <c r="AI11" s="206">
        <f t="shared" si="5"/>
        <v>4472.052083333333</v>
      </c>
      <c r="AJ11" s="207">
        <f t="shared" si="10"/>
        <v>5622.924817708333</v>
      </c>
      <c r="AK11" s="208"/>
      <c r="AL11" s="221">
        <f t="shared" si="11"/>
        <v>2530.0358333333334</v>
      </c>
      <c r="AM11" s="222">
        <f t="shared" si="6"/>
        <v>3092.8889843749994</v>
      </c>
      <c r="AN11" s="208"/>
      <c r="AO11" s="227">
        <f t="shared" si="7"/>
        <v>323.025</v>
      </c>
      <c r="AP11" s="227">
        <f t="shared" si="7"/>
        <v>56.418749999999996</v>
      </c>
      <c r="AQ11" s="205">
        <f t="shared" si="12"/>
        <v>67.08078124999999</v>
      </c>
      <c r="AR11" s="205">
        <f t="shared" si="12"/>
        <v>415.90084375</v>
      </c>
      <c r="AS11" s="205">
        <f t="shared" si="12"/>
        <v>80.94414270833333</v>
      </c>
      <c r="AT11" s="231">
        <f t="shared" si="13"/>
        <v>943.3695177083332</v>
      </c>
    </row>
    <row r="12" spans="1:46" ht="11.25" customHeight="1">
      <c r="A12" s="8">
        <v>6</v>
      </c>
      <c r="B12" s="8">
        <v>32</v>
      </c>
      <c r="C12" s="8"/>
      <c r="D12" s="346">
        <v>3</v>
      </c>
      <c r="E12" s="17">
        <f>VLOOKUP(D12,'A13 - Tabelle'!$A$6:$F$13,6)</f>
        <v>51730.799999999996</v>
      </c>
      <c r="F12" s="17">
        <f>VLOOKUP(D12,'A13 - Tabelle'!$A$6:$G$13,7)</f>
        <v>38986.4</v>
      </c>
      <c r="G12" s="18">
        <f t="shared" si="0"/>
        <v>36466.4</v>
      </c>
      <c r="H12" s="19"/>
      <c r="I12" s="16">
        <v>3</v>
      </c>
      <c r="J12" s="17">
        <f>VLOOKUP(I12,'E13 - Tabelle'!$A$7:$L$19,11)</f>
        <v>53664.625</v>
      </c>
      <c r="K12" s="20">
        <f>VLOOKUP(I12,'E13 - Tabelle'!$A$7:$L$19,12)</f>
        <v>30360.43</v>
      </c>
      <c r="L12" s="28">
        <f t="shared" si="1"/>
        <v>-6105.970000000001</v>
      </c>
      <c r="M12" s="32">
        <f t="shared" si="14"/>
        <v>-35733.95999999999</v>
      </c>
      <c r="N12" s="8">
        <v>6</v>
      </c>
      <c r="O12" s="8">
        <v>32</v>
      </c>
      <c r="P12" s="47"/>
      <c r="Q12" s="47"/>
      <c r="R12" s="71"/>
      <c r="S12" s="197"/>
      <c r="T12" s="204"/>
      <c r="U12" s="370">
        <f t="shared" si="8"/>
        <v>1.468654214559387</v>
      </c>
      <c r="V12" s="371"/>
      <c r="W12" s="68">
        <v>1.9</v>
      </c>
      <c r="X12" s="370">
        <f t="shared" si="2"/>
        <v>8.496898958333333</v>
      </c>
      <c r="Y12" s="68"/>
      <c r="Z12" s="372"/>
      <c r="AA12" s="197"/>
      <c r="AB12" s="204"/>
      <c r="AC12" s="205">
        <f t="shared" si="3"/>
        <v>323.025</v>
      </c>
      <c r="AD12" s="205">
        <f t="shared" si="3"/>
        <v>56.418749999999996</v>
      </c>
      <c r="AE12" s="205">
        <f t="shared" si="4"/>
        <v>67.08078124999999</v>
      </c>
      <c r="AF12" s="205">
        <f t="shared" si="4"/>
        <v>415.90084375</v>
      </c>
      <c r="AG12" s="205">
        <f t="shared" si="4"/>
        <v>288.44735937499996</v>
      </c>
      <c r="AH12" s="206">
        <f t="shared" si="9"/>
        <v>1150.872734375</v>
      </c>
      <c r="AI12" s="206">
        <f t="shared" si="5"/>
        <v>4472.052083333333</v>
      </c>
      <c r="AJ12" s="207">
        <f t="shared" si="10"/>
        <v>5622.924817708333</v>
      </c>
      <c r="AK12" s="208"/>
      <c r="AL12" s="221">
        <f t="shared" si="11"/>
        <v>2530.0358333333334</v>
      </c>
      <c r="AM12" s="222">
        <f t="shared" si="6"/>
        <v>3092.8889843749994</v>
      </c>
      <c r="AN12" s="208"/>
      <c r="AO12" s="227">
        <f t="shared" si="7"/>
        <v>323.025</v>
      </c>
      <c r="AP12" s="227">
        <f t="shared" si="7"/>
        <v>56.418749999999996</v>
      </c>
      <c r="AQ12" s="205">
        <f t="shared" si="12"/>
        <v>67.08078124999999</v>
      </c>
      <c r="AR12" s="205">
        <f t="shared" si="12"/>
        <v>415.90084375</v>
      </c>
      <c r="AS12" s="205">
        <f t="shared" si="12"/>
        <v>80.94414270833333</v>
      </c>
      <c r="AT12" s="231">
        <f t="shared" si="13"/>
        <v>943.3695177083332</v>
      </c>
    </row>
    <row r="13" spans="1:46" ht="11.25" customHeight="1">
      <c r="A13" s="8">
        <v>7</v>
      </c>
      <c r="B13" s="8">
        <v>33</v>
      </c>
      <c r="C13" s="8"/>
      <c r="D13" s="346">
        <v>3</v>
      </c>
      <c r="E13" s="17">
        <f>VLOOKUP(D13,'A13 - Tabelle'!$A$6:$F$13,6)</f>
        <v>51730.799999999996</v>
      </c>
      <c r="F13" s="17">
        <f>VLOOKUP(D13,'A13 - Tabelle'!$A$6:$G$13,7)</f>
        <v>38986.4</v>
      </c>
      <c r="G13" s="18">
        <f t="shared" si="0"/>
        <v>36466.4</v>
      </c>
      <c r="H13" s="19"/>
      <c r="I13" s="16">
        <v>4</v>
      </c>
      <c r="J13" s="17">
        <f>VLOOKUP(I13,'E13 - Tabelle'!$A$7:$L$19,11)</f>
        <v>58944.37500000001</v>
      </c>
      <c r="K13" s="20">
        <f>VLOOKUP(I13,'E13 - Tabelle'!$A$7:$L$19,12)</f>
        <v>32798.08</v>
      </c>
      <c r="L13" s="28">
        <f t="shared" si="1"/>
        <v>-3668.3199999999997</v>
      </c>
      <c r="M13" s="32">
        <f t="shared" si="14"/>
        <v>-39402.27999999999</v>
      </c>
      <c r="N13" s="8">
        <v>7</v>
      </c>
      <c r="O13" s="8">
        <v>33</v>
      </c>
      <c r="P13" s="47"/>
      <c r="Q13" s="47"/>
      <c r="R13" s="71"/>
      <c r="S13" s="197"/>
      <c r="T13" s="204"/>
      <c r="U13" s="370">
        <f t="shared" si="8"/>
        <v>1.6131465517241381</v>
      </c>
      <c r="V13" s="371"/>
      <c r="W13" s="68">
        <v>1.9</v>
      </c>
      <c r="X13" s="370">
        <f t="shared" si="2"/>
        <v>9.332859375000002</v>
      </c>
      <c r="Y13" s="68"/>
      <c r="Z13" s="372"/>
      <c r="AA13" s="197"/>
      <c r="AB13" s="204"/>
      <c r="AC13" s="205">
        <f t="shared" si="3"/>
        <v>323.025</v>
      </c>
      <c r="AD13" s="205">
        <f t="shared" si="3"/>
        <v>56.418749999999996</v>
      </c>
      <c r="AE13" s="205">
        <f t="shared" si="4"/>
        <v>73.68046875000002</v>
      </c>
      <c r="AF13" s="205">
        <f t="shared" si="4"/>
        <v>456.81890625000005</v>
      </c>
      <c r="AG13" s="205">
        <f t="shared" si="4"/>
        <v>316.8260156250001</v>
      </c>
      <c r="AH13" s="206">
        <f t="shared" si="9"/>
        <v>1226.769140625</v>
      </c>
      <c r="AI13" s="206">
        <f t="shared" si="5"/>
        <v>4912.031250000001</v>
      </c>
      <c r="AJ13" s="207">
        <f t="shared" si="10"/>
        <v>6138.8003906250015</v>
      </c>
      <c r="AK13" s="208"/>
      <c r="AL13" s="221">
        <f t="shared" si="11"/>
        <v>2733.1733333333336</v>
      </c>
      <c r="AM13" s="222">
        <f t="shared" si="6"/>
        <v>3405.627057291668</v>
      </c>
      <c r="AN13" s="208"/>
      <c r="AO13" s="227">
        <f t="shared" si="7"/>
        <v>323.025</v>
      </c>
      <c r="AP13" s="227">
        <f t="shared" si="7"/>
        <v>56.418749999999996</v>
      </c>
      <c r="AQ13" s="205">
        <f t="shared" si="12"/>
        <v>73.68046875000002</v>
      </c>
      <c r="AR13" s="205">
        <f t="shared" si="12"/>
        <v>456.81890625000005</v>
      </c>
      <c r="AS13" s="205">
        <f t="shared" si="12"/>
        <v>88.90776562500002</v>
      </c>
      <c r="AT13" s="231">
        <f t="shared" si="13"/>
        <v>998.850890625</v>
      </c>
    </row>
    <row r="14" spans="1:46" ht="11.25" customHeight="1">
      <c r="A14" s="8">
        <v>8</v>
      </c>
      <c r="B14" s="8">
        <v>34</v>
      </c>
      <c r="C14" s="8"/>
      <c r="D14" s="346">
        <v>4</v>
      </c>
      <c r="E14" s="17">
        <f>VLOOKUP(D14,'A13 - Tabelle'!$A$6:$F$13,6)</f>
        <v>54066.240000000005</v>
      </c>
      <c r="F14" s="17">
        <f>VLOOKUP(D14,'A13 - Tabelle'!$A$6:$G$13,7)</f>
        <v>40332.25</v>
      </c>
      <c r="G14" s="18">
        <f t="shared" si="0"/>
        <v>37812.25</v>
      </c>
      <c r="H14" s="19"/>
      <c r="I14" s="16">
        <v>4</v>
      </c>
      <c r="J14" s="17">
        <f>VLOOKUP(I14,'E13 - Tabelle'!$A$7:$L$19,11)</f>
        <v>58944.37500000001</v>
      </c>
      <c r="K14" s="20">
        <f>VLOOKUP(I14,'E13 - Tabelle'!$A$7:$L$19,12)</f>
        <v>32798.08</v>
      </c>
      <c r="L14" s="28">
        <f t="shared" si="1"/>
        <v>-5014.169999999998</v>
      </c>
      <c r="M14" s="32">
        <f t="shared" si="14"/>
        <v>-44416.44999999999</v>
      </c>
      <c r="N14" s="8">
        <v>8</v>
      </c>
      <c r="O14" s="8">
        <v>34</v>
      </c>
      <c r="P14" s="47"/>
      <c r="Q14" s="47"/>
      <c r="R14" s="71"/>
      <c r="S14" s="197"/>
      <c r="T14" s="204"/>
      <c r="U14" s="370">
        <f t="shared" si="8"/>
        <v>1.6131465517241381</v>
      </c>
      <c r="V14" s="371"/>
      <c r="W14" s="68">
        <v>1.8</v>
      </c>
      <c r="X14" s="370">
        <f t="shared" si="2"/>
        <v>8.841656250000002</v>
      </c>
      <c r="Y14" s="68"/>
      <c r="Z14" s="372"/>
      <c r="AA14" s="197"/>
      <c r="AB14" s="204"/>
      <c r="AC14" s="205">
        <f t="shared" si="3"/>
        <v>323.025</v>
      </c>
      <c r="AD14" s="205">
        <f t="shared" si="3"/>
        <v>56.418749999999996</v>
      </c>
      <c r="AE14" s="205">
        <f t="shared" si="4"/>
        <v>73.68046875000002</v>
      </c>
      <c r="AF14" s="205">
        <f t="shared" si="4"/>
        <v>456.81890625000005</v>
      </c>
      <c r="AG14" s="205">
        <f t="shared" si="4"/>
        <v>316.8260156250001</v>
      </c>
      <c r="AH14" s="206">
        <f t="shared" si="9"/>
        <v>1226.769140625</v>
      </c>
      <c r="AI14" s="206">
        <f t="shared" si="5"/>
        <v>4912.031250000001</v>
      </c>
      <c r="AJ14" s="207">
        <f t="shared" si="10"/>
        <v>6138.8003906250015</v>
      </c>
      <c r="AK14" s="208"/>
      <c r="AL14" s="221">
        <f t="shared" si="11"/>
        <v>2733.1733333333336</v>
      </c>
      <c r="AM14" s="222">
        <f t="shared" si="6"/>
        <v>3405.627057291668</v>
      </c>
      <c r="AN14" s="208"/>
      <c r="AO14" s="227">
        <f t="shared" si="7"/>
        <v>323.025</v>
      </c>
      <c r="AP14" s="227">
        <f t="shared" si="7"/>
        <v>56.418749999999996</v>
      </c>
      <c r="AQ14" s="205">
        <f t="shared" si="12"/>
        <v>73.68046875000002</v>
      </c>
      <c r="AR14" s="205">
        <f t="shared" si="12"/>
        <v>456.81890625000005</v>
      </c>
      <c r="AS14" s="205">
        <f t="shared" si="12"/>
        <v>88.90776562500002</v>
      </c>
      <c r="AT14" s="231">
        <f t="shared" si="13"/>
        <v>998.850890625</v>
      </c>
    </row>
    <row r="15" spans="1:46" ht="11.25" customHeight="1">
      <c r="A15" s="8">
        <v>9</v>
      </c>
      <c r="B15" s="8">
        <v>35</v>
      </c>
      <c r="C15" s="8"/>
      <c r="D15" s="346">
        <v>4</v>
      </c>
      <c r="E15" s="17">
        <f>VLOOKUP(D15,'A13 - Tabelle'!$A$6:$F$13,6)</f>
        <v>54066.240000000005</v>
      </c>
      <c r="F15" s="17">
        <f>VLOOKUP(D15,'A13 - Tabelle'!$A$6:$G$13,7)</f>
        <v>40332.25</v>
      </c>
      <c r="G15" s="18">
        <f t="shared" si="0"/>
        <v>37812.25</v>
      </c>
      <c r="H15" s="19"/>
      <c r="I15" s="16">
        <v>4</v>
      </c>
      <c r="J15" s="17">
        <f>VLOOKUP(I15,'E13 - Tabelle'!$A$7:$L$19,11)</f>
        <v>58944.37500000001</v>
      </c>
      <c r="K15" s="20">
        <f>VLOOKUP(I15,'E13 - Tabelle'!$A$7:$L$19,12)</f>
        <v>32798.08</v>
      </c>
      <c r="L15" s="28">
        <f t="shared" si="1"/>
        <v>-5014.169999999998</v>
      </c>
      <c r="M15" s="32">
        <f t="shared" si="14"/>
        <v>-49430.61999999999</v>
      </c>
      <c r="N15" s="8">
        <v>9</v>
      </c>
      <c r="O15" s="8">
        <v>35</v>
      </c>
      <c r="P15" s="47"/>
      <c r="Q15" s="47"/>
      <c r="R15" s="71"/>
      <c r="S15" s="197"/>
      <c r="T15" s="204"/>
      <c r="U15" s="370">
        <f t="shared" si="8"/>
        <v>1.6131465517241381</v>
      </c>
      <c r="V15" s="371"/>
      <c r="W15" s="68">
        <v>1.7</v>
      </c>
      <c r="X15" s="370">
        <f t="shared" si="2"/>
        <v>8.350453125000001</v>
      </c>
      <c r="Y15" s="68"/>
      <c r="Z15" s="372"/>
      <c r="AA15" s="197"/>
      <c r="AB15" s="204"/>
      <c r="AC15" s="205">
        <f t="shared" si="3"/>
        <v>323.025</v>
      </c>
      <c r="AD15" s="205">
        <f t="shared" si="3"/>
        <v>56.418749999999996</v>
      </c>
      <c r="AE15" s="205">
        <f t="shared" si="4"/>
        <v>73.68046875000002</v>
      </c>
      <c r="AF15" s="205">
        <f t="shared" si="4"/>
        <v>456.81890625000005</v>
      </c>
      <c r="AG15" s="205">
        <f t="shared" si="4"/>
        <v>316.8260156250001</v>
      </c>
      <c r="AH15" s="206">
        <f t="shared" si="9"/>
        <v>1226.769140625</v>
      </c>
      <c r="AI15" s="206">
        <f t="shared" si="5"/>
        <v>4912.031250000001</v>
      </c>
      <c r="AJ15" s="207">
        <f t="shared" si="10"/>
        <v>6138.8003906250015</v>
      </c>
      <c r="AK15" s="208"/>
      <c r="AL15" s="221">
        <f t="shared" si="11"/>
        <v>2733.1733333333336</v>
      </c>
      <c r="AM15" s="222">
        <f t="shared" si="6"/>
        <v>3405.627057291668</v>
      </c>
      <c r="AN15" s="208"/>
      <c r="AO15" s="227">
        <f t="shared" si="7"/>
        <v>323.025</v>
      </c>
      <c r="AP15" s="227">
        <f t="shared" si="7"/>
        <v>56.418749999999996</v>
      </c>
      <c r="AQ15" s="205">
        <f t="shared" si="12"/>
        <v>73.68046875000002</v>
      </c>
      <c r="AR15" s="205">
        <f t="shared" si="12"/>
        <v>456.81890625000005</v>
      </c>
      <c r="AS15" s="205">
        <f t="shared" si="12"/>
        <v>88.90776562500002</v>
      </c>
      <c r="AT15" s="231">
        <f t="shared" si="13"/>
        <v>998.850890625</v>
      </c>
    </row>
    <row r="16" spans="1:46" ht="11.25" customHeight="1">
      <c r="A16" s="8">
        <v>10</v>
      </c>
      <c r="B16" s="8">
        <v>36</v>
      </c>
      <c r="C16" s="8"/>
      <c r="D16" s="346">
        <v>4</v>
      </c>
      <c r="E16" s="17">
        <f>VLOOKUP(D16,'A13 - Tabelle'!$A$6:$F$13,6)</f>
        <v>54066.240000000005</v>
      </c>
      <c r="F16" s="17">
        <f>VLOOKUP(D16,'A13 - Tabelle'!$A$6:$G$13,7)</f>
        <v>40332.25</v>
      </c>
      <c r="G16" s="18">
        <f t="shared" si="0"/>
        <v>37812.25</v>
      </c>
      <c r="H16" s="19"/>
      <c r="I16" s="16">
        <v>4</v>
      </c>
      <c r="J16" s="17">
        <f>VLOOKUP(I16,'E13 - Tabelle'!$A$7:$L$19,11)</f>
        <v>58944.37500000001</v>
      </c>
      <c r="K16" s="20">
        <f>VLOOKUP(I16,'E13 - Tabelle'!$A$7:$L$19,12)</f>
        <v>32798.08</v>
      </c>
      <c r="L16" s="28">
        <f t="shared" si="1"/>
        <v>-5014.169999999998</v>
      </c>
      <c r="M16" s="32">
        <f t="shared" si="14"/>
        <v>-54444.789999999986</v>
      </c>
      <c r="N16" s="8">
        <v>10</v>
      </c>
      <c r="O16" s="8">
        <v>36</v>
      </c>
      <c r="P16" s="47"/>
      <c r="Q16" s="47"/>
      <c r="R16" s="71"/>
      <c r="S16" s="197"/>
      <c r="T16" s="204"/>
      <c r="U16" s="370">
        <f t="shared" si="8"/>
        <v>1.6131465517241381</v>
      </c>
      <c r="V16" s="371"/>
      <c r="W16" s="68">
        <v>1.7</v>
      </c>
      <c r="X16" s="370">
        <f t="shared" si="2"/>
        <v>8.350453125000001</v>
      </c>
      <c r="Y16" s="68"/>
      <c r="Z16" s="372"/>
      <c r="AA16" s="197"/>
      <c r="AB16" s="204"/>
      <c r="AC16" s="205">
        <f t="shared" si="3"/>
        <v>323.025</v>
      </c>
      <c r="AD16" s="205">
        <f t="shared" si="3"/>
        <v>56.418749999999996</v>
      </c>
      <c r="AE16" s="205">
        <f t="shared" si="4"/>
        <v>73.68046875000002</v>
      </c>
      <c r="AF16" s="205">
        <f t="shared" si="4"/>
        <v>456.81890625000005</v>
      </c>
      <c r="AG16" s="205">
        <f t="shared" si="4"/>
        <v>316.8260156250001</v>
      </c>
      <c r="AH16" s="206">
        <f t="shared" si="9"/>
        <v>1226.769140625</v>
      </c>
      <c r="AI16" s="206">
        <f t="shared" si="5"/>
        <v>4912.031250000001</v>
      </c>
      <c r="AJ16" s="207">
        <f t="shared" si="10"/>
        <v>6138.8003906250015</v>
      </c>
      <c r="AK16" s="208"/>
      <c r="AL16" s="221">
        <f t="shared" si="11"/>
        <v>2733.1733333333336</v>
      </c>
      <c r="AM16" s="222">
        <f t="shared" si="6"/>
        <v>3405.627057291668</v>
      </c>
      <c r="AN16" s="208"/>
      <c r="AO16" s="227">
        <f t="shared" si="7"/>
        <v>323.025</v>
      </c>
      <c r="AP16" s="227">
        <f t="shared" si="7"/>
        <v>56.418749999999996</v>
      </c>
      <c r="AQ16" s="205">
        <f t="shared" si="12"/>
        <v>73.68046875000002</v>
      </c>
      <c r="AR16" s="205">
        <f t="shared" si="12"/>
        <v>456.81890625000005</v>
      </c>
      <c r="AS16" s="205">
        <f t="shared" si="12"/>
        <v>88.90776562500002</v>
      </c>
      <c r="AT16" s="231">
        <f t="shared" si="13"/>
        <v>998.850890625</v>
      </c>
    </row>
    <row r="17" spans="1:46" ht="11.25" customHeight="1">
      <c r="A17" s="8">
        <v>11</v>
      </c>
      <c r="B17" s="8">
        <v>37</v>
      </c>
      <c r="C17" s="8"/>
      <c r="D17" s="346">
        <v>5</v>
      </c>
      <c r="E17" s="17">
        <f>VLOOKUP(D17,'A13 - Tabelle'!$A$6:$F$13,6)</f>
        <v>56257.68000000001</v>
      </c>
      <c r="F17" s="17">
        <f>VLOOKUP(D17,'A13 - Tabelle'!$A$6:$G$13,7)</f>
        <v>41572.08</v>
      </c>
      <c r="G17" s="18">
        <f t="shared" si="0"/>
        <v>39052.08</v>
      </c>
      <c r="H17" s="19"/>
      <c r="I17" s="16">
        <v>5</v>
      </c>
      <c r="J17" s="17">
        <f>VLOOKUP(I17,'E13 - Tabelle'!$A$7:$L$19,11)</f>
        <v>66242.875</v>
      </c>
      <c r="K17" s="20">
        <f>VLOOKUP(I17,'E13 - Tabelle'!$A$7:$L$19,12)</f>
        <v>35970.94</v>
      </c>
      <c r="L17" s="28">
        <f t="shared" si="1"/>
        <v>-3081.1399999999994</v>
      </c>
      <c r="M17" s="32">
        <f t="shared" si="14"/>
        <v>-57525.929999999986</v>
      </c>
      <c r="N17" s="8">
        <v>11</v>
      </c>
      <c r="O17" s="8">
        <v>37</v>
      </c>
      <c r="P17" s="47"/>
      <c r="Q17" s="47"/>
      <c r="R17" s="71"/>
      <c r="S17" s="197"/>
      <c r="T17" s="204"/>
      <c r="U17" s="370">
        <f t="shared" si="8"/>
        <v>1.8128865626710455</v>
      </c>
      <c r="V17" s="371"/>
      <c r="W17" s="68">
        <v>1.6</v>
      </c>
      <c r="X17" s="370">
        <f t="shared" si="2"/>
        <v>8.832383333333333</v>
      </c>
      <c r="Y17" s="68"/>
      <c r="Z17" s="372"/>
      <c r="AA17" s="197"/>
      <c r="AB17" s="204"/>
      <c r="AC17" s="205">
        <f t="shared" si="3"/>
        <v>323.025</v>
      </c>
      <c r="AD17" s="205">
        <f t="shared" si="3"/>
        <v>56.418749999999996</v>
      </c>
      <c r="AE17" s="205">
        <f t="shared" si="4"/>
        <v>82.80359374999999</v>
      </c>
      <c r="AF17" s="205">
        <f t="shared" si="4"/>
        <v>513.38228125</v>
      </c>
      <c r="AG17" s="205">
        <f t="shared" si="4"/>
        <v>356.055453125</v>
      </c>
      <c r="AH17" s="206">
        <f t="shared" si="9"/>
        <v>1331.685078125</v>
      </c>
      <c r="AI17" s="206">
        <f t="shared" si="5"/>
        <v>5520.239583333333</v>
      </c>
      <c r="AJ17" s="207">
        <f t="shared" si="10"/>
        <v>6851.9246614583335</v>
      </c>
      <c r="AK17" s="208"/>
      <c r="AL17" s="221">
        <f t="shared" si="11"/>
        <v>2997.5783333333334</v>
      </c>
      <c r="AM17" s="222">
        <f t="shared" si="6"/>
        <v>3854.346328125</v>
      </c>
      <c r="AN17" s="208"/>
      <c r="AO17" s="227">
        <f t="shared" si="7"/>
        <v>323.025</v>
      </c>
      <c r="AP17" s="227">
        <f t="shared" si="7"/>
        <v>56.418749999999996</v>
      </c>
      <c r="AQ17" s="205">
        <f t="shared" si="12"/>
        <v>82.80359374999999</v>
      </c>
      <c r="AR17" s="205">
        <f t="shared" si="12"/>
        <v>513.38228125</v>
      </c>
      <c r="AS17" s="205">
        <f t="shared" si="12"/>
        <v>99.91633645833333</v>
      </c>
      <c r="AT17" s="231">
        <f t="shared" si="13"/>
        <v>1075.5459614583333</v>
      </c>
    </row>
    <row r="18" spans="1:46" ht="11.25" customHeight="1">
      <c r="A18" s="8">
        <v>12</v>
      </c>
      <c r="B18" s="8">
        <v>38</v>
      </c>
      <c r="C18" s="8"/>
      <c r="D18" s="346">
        <v>5</v>
      </c>
      <c r="E18" s="17">
        <f>VLOOKUP(D18,'A13 - Tabelle'!$A$6:$F$13,6)</f>
        <v>56257.68000000001</v>
      </c>
      <c r="F18" s="17">
        <f>VLOOKUP(D18,'A13 - Tabelle'!$A$6:$G$13,7)</f>
        <v>41572.08</v>
      </c>
      <c r="G18" s="18">
        <f t="shared" si="0"/>
        <v>39052.08</v>
      </c>
      <c r="H18" s="19"/>
      <c r="I18" s="16">
        <v>5</v>
      </c>
      <c r="J18" s="17">
        <f>VLOOKUP(I18,'E13 - Tabelle'!$A$7:$L$19,11)</f>
        <v>66242.875</v>
      </c>
      <c r="K18" s="20">
        <f>VLOOKUP(I18,'E13 - Tabelle'!$A$7:$L$19,12)</f>
        <v>35970.94</v>
      </c>
      <c r="L18" s="28">
        <f t="shared" si="1"/>
        <v>-3081.1399999999994</v>
      </c>
      <c r="M18" s="32">
        <f t="shared" si="14"/>
        <v>-60607.069999999985</v>
      </c>
      <c r="N18" s="8">
        <v>12</v>
      </c>
      <c r="O18" s="8">
        <v>38</v>
      </c>
      <c r="P18" s="47"/>
      <c r="Q18" s="47"/>
      <c r="R18" s="71"/>
      <c r="S18" s="197"/>
      <c r="T18" s="204"/>
      <c r="U18" s="370">
        <f t="shared" si="8"/>
        <v>1.8128865626710455</v>
      </c>
      <c r="V18" s="371"/>
      <c r="W18" s="68">
        <v>1.6</v>
      </c>
      <c r="X18" s="370">
        <f t="shared" si="2"/>
        <v>8.832383333333333</v>
      </c>
      <c r="Y18" s="68"/>
      <c r="Z18" s="372"/>
      <c r="AA18" s="197"/>
      <c r="AB18" s="204"/>
      <c r="AC18" s="205">
        <f t="shared" si="3"/>
        <v>323.025</v>
      </c>
      <c r="AD18" s="205">
        <f t="shared" si="3"/>
        <v>56.418749999999996</v>
      </c>
      <c r="AE18" s="205">
        <f t="shared" si="4"/>
        <v>82.80359374999999</v>
      </c>
      <c r="AF18" s="205">
        <f t="shared" si="4"/>
        <v>513.38228125</v>
      </c>
      <c r="AG18" s="205">
        <f t="shared" si="4"/>
        <v>356.055453125</v>
      </c>
      <c r="AH18" s="206">
        <f t="shared" si="9"/>
        <v>1331.685078125</v>
      </c>
      <c r="AI18" s="206">
        <f t="shared" si="5"/>
        <v>5520.239583333333</v>
      </c>
      <c r="AJ18" s="207">
        <f t="shared" si="10"/>
        <v>6851.9246614583335</v>
      </c>
      <c r="AK18" s="208"/>
      <c r="AL18" s="221">
        <f t="shared" si="11"/>
        <v>2997.5783333333334</v>
      </c>
      <c r="AM18" s="222">
        <f t="shared" si="6"/>
        <v>3854.346328125</v>
      </c>
      <c r="AN18" s="208"/>
      <c r="AO18" s="227">
        <f t="shared" si="7"/>
        <v>323.025</v>
      </c>
      <c r="AP18" s="227">
        <f t="shared" si="7"/>
        <v>56.418749999999996</v>
      </c>
      <c r="AQ18" s="205">
        <f t="shared" si="12"/>
        <v>82.80359374999999</v>
      </c>
      <c r="AR18" s="205">
        <f t="shared" si="12"/>
        <v>513.38228125</v>
      </c>
      <c r="AS18" s="205">
        <f t="shared" si="12"/>
        <v>99.91633645833333</v>
      </c>
      <c r="AT18" s="231">
        <f t="shared" si="13"/>
        <v>1075.5459614583333</v>
      </c>
    </row>
    <row r="19" spans="1:46" ht="11.25" customHeight="1">
      <c r="A19" s="8">
        <v>13</v>
      </c>
      <c r="B19" s="8">
        <v>39</v>
      </c>
      <c r="C19" s="8"/>
      <c r="D19" s="346">
        <v>5</v>
      </c>
      <c r="E19" s="17">
        <f>VLOOKUP(D19,'A13 - Tabelle'!$A$6:$F$13,6)</f>
        <v>56257.68000000001</v>
      </c>
      <c r="F19" s="17">
        <f>VLOOKUP(D19,'A13 - Tabelle'!$A$6:$G$13,7)</f>
        <v>41572.08</v>
      </c>
      <c r="G19" s="18">
        <f t="shared" si="0"/>
        <v>39052.08</v>
      </c>
      <c r="H19" s="19"/>
      <c r="I19" s="16">
        <v>5</v>
      </c>
      <c r="J19" s="17">
        <f>VLOOKUP(I19,'E13 - Tabelle'!$A$7:$L$19,11)</f>
        <v>66242.875</v>
      </c>
      <c r="K19" s="20">
        <f>VLOOKUP(I19,'E13 - Tabelle'!$A$7:$L$19,12)</f>
        <v>35970.94</v>
      </c>
      <c r="L19" s="28">
        <f t="shared" si="1"/>
        <v>-3081.1399999999994</v>
      </c>
      <c r="M19" s="32">
        <f t="shared" si="14"/>
        <v>-63688.209999999985</v>
      </c>
      <c r="N19" s="8">
        <v>13</v>
      </c>
      <c r="O19" s="8">
        <v>39</v>
      </c>
      <c r="P19" s="47"/>
      <c r="Q19" s="47"/>
      <c r="R19" s="71"/>
      <c r="S19" s="197"/>
      <c r="T19" s="204"/>
      <c r="U19" s="370">
        <f t="shared" si="8"/>
        <v>1.8128865626710455</v>
      </c>
      <c r="V19" s="371"/>
      <c r="W19" s="68">
        <v>1.6</v>
      </c>
      <c r="X19" s="370">
        <f t="shared" si="2"/>
        <v>8.832383333333333</v>
      </c>
      <c r="Y19" s="68"/>
      <c r="Z19" s="372"/>
      <c r="AA19" s="197"/>
      <c r="AB19" s="204"/>
      <c r="AC19" s="205">
        <f t="shared" si="3"/>
        <v>323.025</v>
      </c>
      <c r="AD19" s="205">
        <f t="shared" si="3"/>
        <v>56.418749999999996</v>
      </c>
      <c r="AE19" s="205">
        <f t="shared" si="4"/>
        <v>82.80359374999999</v>
      </c>
      <c r="AF19" s="205">
        <f t="shared" si="4"/>
        <v>513.38228125</v>
      </c>
      <c r="AG19" s="205">
        <f t="shared" si="4"/>
        <v>356.055453125</v>
      </c>
      <c r="AH19" s="206">
        <f t="shared" si="9"/>
        <v>1331.685078125</v>
      </c>
      <c r="AI19" s="206">
        <f t="shared" si="5"/>
        <v>5520.239583333333</v>
      </c>
      <c r="AJ19" s="207">
        <f t="shared" si="10"/>
        <v>6851.9246614583335</v>
      </c>
      <c r="AK19" s="208"/>
      <c r="AL19" s="221">
        <f t="shared" si="11"/>
        <v>2997.5783333333334</v>
      </c>
      <c r="AM19" s="222">
        <f t="shared" si="6"/>
        <v>3854.346328125</v>
      </c>
      <c r="AN19" s="208"/>
      <c r="AO19" s="227">
        <f t="shared" si="7"/>
        <v>323.025</v>
      </c>
      <c r="AP19" s="227">
        <f t="shared" si="7"/>
        <v>56.418749999999996</v>
      </c>
      <c r="AQ19" s="205">
        <f t="shared" si="12"/>
        <v>82.80359374999999</v>
      </c>
      <c r="AR19" s="205">
        <f t="shared" si="12"/>
        <v>513.38228125</v>
      </c>
      <c r="AS19" s="205">
        <f t="shared" si="12"/>
        <v>99.91633645833333</v>
      </c>
      <c r="AT19" s="231">
        <f t="shared" si="13"/>
        <v>1075.5459614583333</v>
      </c>
    </row>
    <row r="20" spans="1:46" ht="11.25" customHeight="1">
      <c r="A20" s="8">
        <v>14</v>
      </c>
      <c r="B20" s="8">
        <v>40</v>
      </c>
      <c r="C20" s="8"/>
      <c r="D20" s="346">
        <v>5</v>
      </c>
      <c r="E20" s="17">
        <f>VLOOKUP(D20,'A13 - Tabelle'!$A$6:$F$13,6)</f>
        <v>56257.68000000001</v>
      </c>
      <c r="F20" s="17">
        <f>VLOOKUP(D20,'A13 - Tabelle'!$A$6:$G$13,7)</f>
        <v>41572.08</v>
      </c>
      <c r="G20" s="18">
        <f t="shared" si="0"/>
        <v>39052.08</v>
      </c>
      <c r="H20" s="19"/>
      <c r="I20" s="16">
        <v>5</v>
      </c>
      <c r="J20" s="17">
        <f>VLOOKUP(I20,'E13 - Tabelle'!$A$7:$L$19,11)</f>
        <v>66242.875</v>
      </c>
      <c r="K20" s="20">
        <f>VLOOKUP(I20,'E13 - Tabelle'!$A$7:$L$19,12)</f>
        <v>35970.94</v>
      </c>
      <c r="L20" s="28">
        <f t="shared" si="1"/>
        <v>-3081.1399999999994</v>
      </c>
      <c r="M20" s="32">
        <f t="shared" si="14"/>
        <v>-66769.34999999998</v>
      </c>
      <c r="N20" s="8">
        <v>14</v>
      </c>
      <c r="O20" s="8">
        <v>40</v>
      </c>
      <c r="P20" s="47"/>
      <c r="Q20" s="47"/>
      <c r="R20" s="71"/>
      <c r="S20" s="197"/>
      <c r="T20" s="204"/>
      <c r="U20" s="370">
        <f t="shared" si="8"/>
        <v>1.8128865626710455</v>
      </c>
      <c r="V20" s="371"/>
      <c r="W20" s="68">
        <v>1.5</v>
      </c>
      <c r="X20" s="370">
        <f t="shared" si="2"/>
        <v>8.280359375</v>
      </c>
      <c r="Y20" s="68"/>
      <c r="Z20" s="372"/>
      <c r="AA20" s="197"/>
      <c r="AB20" s="204"/>
      <c r="AC20" s="205">
        <f t="shared" si="3"/>
        <v>323.025</v>
      </c>
      <c r="AD20" s="205">
        <f t="shared" si="3"/>
        <v>56.418749999999996</v>
      </c>
      <c r="AE20" s="205">
        <f t="shared" si="4"/>
        <v>82.80359374999999</v>
      </c>
      <c r="AF20" s="205">
        <f t="shared" si="4"/>
        <v>513.38228125</v>
      </c>
      <c r="AG20" s="205">
        <f t="shared" si="4"/>
        <v>356.055453125</v>
      </c>
      <c r="AH20" s="206">
        <f t="shared" si="9"/>
        <v>1331.685078125</v>
      </c>
      <c r="AI20" s="206">
        <f t="shared" si="5"/>
        <v>5520.239583333333</v>
      </c>
      <c r="AJ20" s="207">
        <f t="shared" si="10"/>
        <v>6851.9246614583335</v>
      </c>
      <c r="AK20" s="208"/>
      <c r="AL20" s="221">
        <f t="shared" si="11"/>
        <v>2997.5783333333334</v>
      </c>
      <c r="AM20" s="222">
        <f t="shared" si="6"/>
        <v>3854.346328125</v>
      </c>
      <c r="AN20" s="208"/>
      <c r="AO20" s="227">
        <f t="shared" si="7"/>
        <v>323.025</v>
      </c>
      <c r="AP20" s="227">
        <f t="shared" si="7"/>
        <v>56.418749999999996</v>
      </c>
      <c r="AQ20" s="205">
        <f t="shared" si="12"/>
        <v>82.80359374999999</v>
      </c>
      <c r="AR20" s="205">
        <f t="shared" si="12"/>
        <v>513.38228125</v>
      </c>
      <c r="AS20" s="205">
        <f t="shared" si="12"/>
        <v>99.91633645833333</v>
      </c>
      <c r="AT20" s="231">
        <f t="shared" si="13"/>
        <v>1075.5459614583333</v>
      </c>
    </row>
    <row r="21" spans="1:46" ht="11.25" customHeight="1">
      <c r="A21" s="8">
        <v>15</v>
      </c>
      <c r="B21" s="8">
        <v>41</v>
      </c>
      <c r="C21" s="8"/>
      <c r="D21" s="346">
        <v>6</v>
      </c>
      <c r="E21" s="17">
        <f>VLOOKUP(D21,'A13 - Tabelle'!$A$6:$F$13,6)</f>
        <v>57295.799999999996</v>
      </c>
      <c r="F21" s="17">
        <f>VLOOKUP(D21,'A13 - Tabelle'!$A$6:$G$13,7)</f>
        <v>42151.28</v>
      </c>
      <c r="G21" s="18">
        <f t="shared" si="0"/>
        <v>39631.28</v>
      </c>
      <c r="H21" s="19"/>
      <c r="I21" s="16">
        <v>5</v>
      </c>
      <c r="J21" s="17">
        <f>VLOOKUP(I21,'E13 - Tabelle'!$A$7:$L$19,11)</f>
        <v>66242.875</v>
      </c>
      <c r="K21" s="20">
        <f>VLOOKUP(I21,'E13 - Tabelle'!$A$7:$L$19,12)</f>
        <v>35970.94</v>
      </c>
      <c r="L21" s="28">
        <f t="shared" si="1"/>
        <v>-3660.3399999999965</v>
      </c>
      <c r="M21" s="32">
        <f t="shared" si="14"/>
        <v>-70429.68999999997</v>
      </c>
      <c r="N21" s="8">
        <v>15</v>
      </c>
      <c r="O21" s="8">
        <v>41</v>
      </c>
      <c r="P21" s="47"/>
      <c r="Q21" s="47"/>
      <c r="R21" s="71"/>
      <c r="S21" s="197"/>
      <c r="T21" s="204"/>
      <c r="U21" s="370">
        <f t="shared" si="8"/>
        <v>1.8128865626710455</v>
      </c>
      <c r="V21" s="371"/>
      <c r="W21" s="68">
        <v>1.5</v>
      </c>
      <c r="X21" s="370">
        <f t="shared" si="2"/>
        <v>8.280359375</v>
      </c>
      <c r="Y21" s="68"/>
      <c r="Z21" s="372"/>
      <c r="AA21" s="197"/>
      <c r="AB21" s="204"/>
      <c r="AC21" s="205">
        <f t="shared" si="3"/>
        <v>323.025</v>
      </c>
      <c r="AD21" s="205">
        <f t="shared" si="3"/>
        <v>56.418749999999996</v>
      </c>
      <c r="AE21" s="205">
        <f t="shared" si="4"/>
        <v>82.80359374999999</v>
      </c>
      <c r="AF21" s="205">
        <f t="shared" si="4"/>
        <v>513.38228125</v>
      </c>
      <c r="AG21" s="205">
        <f t="shared" si="4"/>
        <v>356.055453125</v>
      </c>
      <c r="AH21" s="206">
        <f t="shared" si="9"/>
        <v>1331.685078125</v>
      </c>
      <c r="AI21" s="206">
        <f t="shared" si="5"/>
        <v>5520.239583333333</v>
      </c>
      <c r="AJ21" s="207">
        <f t="shared" si="10"/>
        <v>6851.9246614583335</v>
      </c>
      <c r="AK21" s="208"/>
      <c r="AL21" s="221">
        <f t="shared" si="11"/>
        <v>2997.5783333333334</v>
      </c>
      <c r="AM21" s="222">
        <f t="shared" si="6"/>
        <v>3854.346328125</v>
      </c>
      <c r="AN21" s="208"/>
      <c r="AO21" s="227">
        <f t="shared" si="7"/>
        <v>323.025</v>
      </c>
      <c r="AP21" s="227">
        <f t="shared" si="7"/>
        <v>56.418749999999996</v>
      </c>
      <c r="AQ21" s="205">
        <f t="shared" si="12"/>
        <v>82.80359374999999</v>
      </c>
      <c r="AR21" s="205">
        <f t="shared" si="12"/>
        <v>513.38228125</v>
      </c>
      <c r="AS21" s="205">
        <f t="shared" si="12"/>
        <v>99.91633645833333</v>
      </c>
      <c r="AT21" s="231">
        <f t="shared" si="13"/>
        <v>1075.5459614583333</v>
      </c>
    </row>
    <row r="22" spans="1:46" ht="11.25" customHeight="1">
      <c r="A22" s="8">
        <v>16</v>
      </c>
      <c r="B22" s="8">
        <v>42</v>
      </c>
      <c r="C22" s="8"/>
      <c r="D22" s="346">
        <v>6</v>
      </c>
      <c r="E22" s="17">
        <f>VLOOKUP(D22,'A13 - Tabelle'!$A$6:$F$13,6)</f>
        <v>57295.799999999996</v>
      </c>
      <c r="F22" s="17">
        <f>VLOOKUP(D22,'A13 - Tabelle'!$A$6:$G$13,7)</f>
        <v>42151.28</v>
      </c>
      <c r="G22" s="18">
        <f t="shared" si="0"/>
        <v>39631.28</v>
      </c>
      <c r="H22" s="19"/>
      <c r="I22" s="16">
        <v>5</v>
      </c>
      <c r="J22" s="17">
        <f>VLOOKUP(I22,'E13 - Tabelle'!$A$7:$L$19,11)</f>
        <v>66242.875</v>
      </c>
      <c r="K22" s="20">
        <f>VLOOKUP(I22,'E13 - Tabelle'!$A$7:$L$19,12)</f>
        <v>35970.94</v>
      </c>
      <c r="L22" s="28">
        <f t="shared" si="1"/>
        <v>-3660.3399999999965</v>
      </c>
      <c r="M22" s="32">
        <f t="shared" si="14"/>
        <v>-74090.02999999997</v>
      </c>
      <c r="N22" s="8">
        <v>16</v>
      </c>
      <c r="O22" s="8">
        <v>42</v>
      </c>
      <c r="P22" s="47"/>
      <c r="Q22" s="47"/>
      <c r="R22" s="71"/>
      <c r="S22" s="197"/>
      <c r="T22" s="204"/>
      <c r="U22" s="370">
        <f t="shared" si="8"/>
        <v>1.8128865626710455</v>
      </c>
      <c r="V22" s="371"/>
      <c r="W22" s="68">
        <v>1.4</v>
      </c>
      <c r="X22" s="370">
        <f t="shared" si="2"/>
        <v>7.728335416666665</v>
      </c>
      <c r="Y22" s="68"/>
      <c r="Z22" s="372"/>
      <c r="AA22" s="197"/>
      <c r="AB22" s="204"/>
      <c r="AC22" s="205">
        <f t="shared" si="3"/>
        <v>323.025</v>
      </c>
      <c r="AD22" s="205">
        <f t="shared" si="3"/>
        <v>56.418749999999996</v>
      </c>
      <c r="AE22" s="205">
        <f t="shared" si="4"/>
        <v>82.80359374999999</v>
      </c>
      <c r="AF22" s="205">
        <f t="shared" si="4"/>
        <v>513.38228125</v>
      </c>
      <c r="AG22" s="205">
        <f t="shared" si="4"/>
        <v>356.055453125</v>
      </c>
      <c r="AH22" s="206">
        <f t="shared" si="9"/>
        <v>1331.685078125</v>
      </c>
      <c r="AI22" s="206">
        <f t="shared" si="5"/>
        <v>5520.239583333333</v>
      </c>
      <c r="AJ22" s="207">
        <f t="shared" si="10"/>
        <v>6851.9246614583335</v>
      </c>
      <c r="AK22" s="208"/>
      <c r="AL22" s="221">
        <f t="shared" si="11"/>
        <v>2997.5783333333334</v>
      </c>
      <c r="AM22" s="222">
        <f t="shared" si="6"/>
        <v>3854.346328125</v>
      </c>
      <c r="AN22" s="208"/>
      <c r="AO22" s="227">
        <f t="shared" si="7"/>
        <v>323.025</v>
      </c>
      <c r="AP22" s="227">
        <f t="shared" si="7"/>
        <v>56.418749999999996</v>
      </c>
      <c r="AQ22" s="205">
        <f t="shared" si="12"/>
        <v>82.80359374999999</v>
      </c>
      <c r="AR22" s="205">
        <f t="shared" si="12"/>
        <v>513.38228125</v>
      </c>
      <c r="AS22" s="205">
        <f t="shared" si="12"/>
        <v>99.91633645833333</v>
      </c>
      <c r="AT22" s="231">
        <f t="shared" si="13"/>
        <v>1075.5459614583333</v>
      </c>
    </row>
    <row r="23" spans="1:46" ht="11.25" customHeight="1">
      <c r="A23" s="8">
        <v>17</v>
      </c>
      <c r="B23" s="8">
        <v>43</v>
      </c>
      <c r="C23" s="8"/>
      <c r="D23" s="346">
        <v>6</v>
      </c>
      <c r="E23" s="17">
        <f>VLOOKUP(D23,'A13 - Tabelle'!$A$6:$F$13,6)</f>
        <v>57295.799999999996</v>
      </c>
      <c r="F23" s="17">
        <f>VLOOKUP(D23,'A13 - Tabelle'!$A$6:$G$13,7)</f>
        <v>42151.28</v>
      </c>
      <c r="G23" s="18">
        <f t="shared" si="0"/>
        <v>39631.28</v>
      </c>
      <c r="H23" s="19"/>
      <c r="I23" s="16">
        <v>5</v>
      </c>
      <c r="J23" s="17">
        <f>VLOOKUP(I23,'E13 - Tabelle'!$A$7:$L$19,11)</f>
        <v>66242.875</v>
      </c>
      <c r="K23" s="20">
        <f>VLOOKUP(I23,'E13 - Tabelle'!$A$7:$L$19,12)</f>
        <v>35970.94</v>
      </c>
      <c r="L23" s="28">
        <f t="shared" si="1"/>
        <v>-3660.3399999999965</v>
      </c>
      <c r="M23" s="32">
        <f t="shared" si="14"/>
        <v>-77750.36999999997</v>
      </c>
      <c r="N23" s="8">
        <v>17</v>
      </c>
      <c r="O23" s="8">
        <v>43</v>
      </c>
      <c r="P23" s="47"/>
      <c r="Q23" s="47"/>
      <c r="R23" s="71"/>
      <c r="S23" s="197"/>
      <c r="T23" s="204"/>
      <c r="U23" s="370">
        <f t="shared" si="8"/>
        <v>1.8128865626710455</v>
      </c>
      <c r="V23" s="371"/>
      <c r="W23" s="68">
        <v>1.4</v>
      </c>
      <c r="X23" s="370">
        <f t="shared" si="2"/>
        <v>7.728335416666665</v>
      </c>
      <c r="Y23" s="68"/>
      <c r="Z23" s="372"/>
      <c r="AA23" s="197"/>
      <c r="AB23" s="204"/>
      <c r="AC23" s="205">
        <f t="shared" si="3"/>
        <v>323.025</v>
      </c>
      <c r="AD23" s="205">
        <f t="shared" si="3"/>
        <v>56.418749999999996</v>
      </c>
      <c r="AE23" s="205">
        <f t="shared" si="4"/>
        <v>82.80359374999999</v>
      </c>
      <c r="AF23" s="205">
        <f t="shared" si="4"/>
        <v>513.38228125</v>
      </c>
      <c r="AG23" s="205">
        <f t="shared" si="4"/>
        <v>356.055453125</v>
      </c>
      <c r="AH23" s="206">
        <f t="shared" si="9"/>
        <v>1331.685078125</v>
      </c>
      <c r="AI23" s="206">
        <f t="shared" si="5"/>
        <v>5520.239583333333</v>
      </c>
      <c r="AJ23" s="207">
        <f t="shared" si="10"/>
        <v>6851.9246614583335</v>
      </c>
      <c r="AK23" s="208"/>
      <c r="AL23" s="221">
        <f t="shared" si="11"/>
        <v>2997.5783333333334</v>
      </c>
      <c r="AM23" s="222">
        <f t="shared" si="6"/>
        <v>3854.346328125</v>
      </c>
      <c r="AN23" s="208"/>
      <c r="AO23" s="227">
        <f t="shared" si="7"/>
        <v>323.025</v>
      </c>
      <c r="AP23" s="227">
        <f t="shared" si="7"/>
        <v>56.418749999999996</v>
      </c>
      <c r="AQ23" s="205">
        <f t="shared" si="12"/>
        <v>82.80359374999999</v>
      </c>
      <c r="AR23" s="205">
        <f t="shared" si="12"/>
        <v>513.38228125</v>
      </c>
      <c r="AS23" s="205">
        <f t="shared" si="12"/>
        <v>99.91633645833333</v>
      </c>
      <c r="AT23" s="231">
        <f t="shared" si="13"/>
        <v>1075.5459614583333</v>
      </c>
    </row>
    <row r="24" spans="1:46" ht="11.25" customHeight="1">
      <c r="A24" s="8">
        <v>18</v>
      </c>
      <c r="B24" s="8">
        <v>44</v>
      </c>
      <c r="C24" s="8"/>
      <c r="D24" s="346">
        <v>6</v>
      </c>
      <c r="E24" s="17">
        <f>VLOOKUP(D24,'A13 - Tabelle'!$A$6:$F$13,6)</f>
        <v>57295.799999999996</v>
      </c>
      <c r="F24" s="17">
        <f>VLOOKUP(D24,'A13 - Tabelle'!$A$6:$G$13,7)</f>
        <v>42151.28</v>
      </c>
      <c r="G24" s="18">
        <f t="shared" si="0"/>
        <v>39631.28</v>
      </c>
      <c r="H24" s="19"/>
      <c r="I24" s="16">
        <v>5</v>
      </c>
      <c r="J24" s="17">
        <f>VLOOKUP(I24,'E13 - Tabelle'!$A$7:$L$19,11)</f>
        <v>66242.875</v>
      </c>
      <c r="K24" s="20">
        <f>VLOOKUP(I24,'E13 - Tabelle'!$A$7:$L$19,12)</f>
        <v>35970.94</v>
      </c>
      <c r="L24" s="28">
        <f t="shared" si="1"/>
        <v>-3660.3399999999965</v>
      </c>
      <c r="M24" s="32">
        <f t="shared" si="14"/>
        <v>-81410.70999999996</v>
      </c>
      <c r="N24" s="8">
        <v>18</v>
      </c>
      <c r="O24" s="8">
        <v>44</v>
      </c>
      <c r="P24" s="47"/>
      <c r="Q24" s="47"/>
      <c r="R24" s="71"/>
      <c r="S24" s="197"/>
      <c r="T24" s="204"/>
      <c r="U24" s="370">
        <f t="shared" si="8"/>
        <v>1.8128865626710455</v>
      </c>
      <c r="V24" s="371"/>
      <c r="W24" s="68">
        <v>1.3</v>
      </c>
      <c r="X24" s="370">
        <f t="shared" si="2"/>
        <v>7.176311458333333</v>
      </c>
      <c r="Y24" s="68"/>
      <c r="Z24" s="372"/>
      <c r="AA24" s="197"/>
      <c r="AB24" s="204"/>
      <c r="AC24" s="205">
        <f t="shared" si="3"/>
        <v>323.025</v>
      </c>
      <c r="AD24" s="205">
        <f t="shared" si="3"/>
        <v>56.418749999999996</v>
      </c>
      <c r="AE24" s="205">
        <f t="shared" si="4"/>
        <v>82.80359374999999</v>
      </c>
      <c r="AF24" s="205">
        <f t="shared" si="4"/>
        <v>513.38228125</v>
      </c>
      <c r="AG24" s="205">
        <f t="shared" si="4"/>
        <v>356.055453125</v>
      </c>
      <c r="AH24" s="206">
        <f t="shared" si="9"/>
        <v>1331.685078125</v>
      </c>
      <c r="AI24" s="206">
        <f t="shared" si="5"/>
        <v>5520.239583333333</v>
      </c>
      <c r="AJ24" s="207">
        <f t="shared" si="10"/>
        <v>6851.9246614583335</v>
      </c>
      <c r="AK24" s="208"/>
      <c r="AL24" s="221">
        <f t="shared" si="11"/>
        <v>2997.5783333333334</v>
      </c>
      <c r="AM24" s="222">
        <f t="shared" si="6"/>
        <v>3854.346328125</v>
      </c>
      <c r="AN24" s="208"/>
      <c r="AO24" s="227">
        <f t="shared" si="7"/>
        <v>323.025</v>
      </c>
      <c r="AP24" s="227">
        <f t="shared" si="7"/>
        <v>56.418749999999996</v>
      </c>
      <c r="AQ24" s="205">
        <f t="shared" si="12"/>
        <v>82.80359374999999</v>
      </c>
      <c r="AR24" s="205">
        <f t="shared" si="12"/>
        <v>513.38228125</v>
      </c>
      <c r="AS24" s="205">
        <f t="shared" si="12"/>
        <v>99.91633645833333</v>
      </c>
      <c r="AT24" s="231">
        <f t="shared" si="13"/>
        <v>1075.5459614583333</v>
      </c>
    </row>
    <row r="25" spans="1:46" ht="11.25" customHeight="1">
      <c r="A25" s="8">
        <v>19</v>
      </c>
      <c r="B25" s="8">
        <v>45</v>
      </c>
      <c r="C25" s="8"/>
      <c r="D25" s="346">
        <v>7</v>
      </c>
      <c r="E25" s="17">
        <f>VLOOKUP(D25,'A13 - Tabelle'!$A$6:$F$13,6)</f>
        <v>59487.12</v>
      </c>
      <c r="F25" s="17">
        <f>VLOOKUP(D25,'A13 - Tabelle'!$A$6:$G$13,7)</f>
        <v>43372</v>
      </c>
      <c r="G25" s="18">
        <f t="shared" si="0"/>
        <v>40852</v>
      </c>
      <c r="H25" s="19"/>
      <c r="I25" s="16">
        <v>5</v>
      </c>
      <c r="J25" s="17">
        <f>VLOOKUP(I25,'E13 - Tabelle'!$A$7:$L$19,11)</f>
        <v>66242.875</v>
      </c>
      <c r="K25" s="20">
        <f>VLOOKUP(I25,'E13 - Tabelle'!$A$7:$L$19,12)</f>
        <v>35970.94</v>
      </c>
      <c r="L25" s="28">
        <f t="shared" si="1"/>
        <v>-4881.059999999998</v>
      </c>
      <c r="M25" s="32">
        <f t="shared" si="14"/>
        <v>-86291.76999999996</v>
      </c>
      <c r="N25" s="8">
        <v>19</v>
      </c>
      <c r="O25" s="8">
        <v>45</v>
      </c>
      <c r="P25" s="47"/>
      <c r="Q25" s="47"/>
      <c r="R25" s="71"/>
      <c r="S25" s="197"/>
      <c r="T25" s="204"/>
      <c r="U25" s="370">
        <f t="shared" si="8"/>
        <v>1.8128865626710455</v>
      </c>
      <c r="V25" s="371"/>
      <c r="W25" s="68">
        <v>1.3</v>
      </c>
      <c r="X25" s="370">
        <f t="shared" si="2"/>
        <v>7.176311458333333</v>
      </c>
      <c r="Y25" s="68"/>
      <c r="Z25" s="372"/>
      <c r="AA25" s="197"/>
      <c r="AB25" s="204"/>
      <c r="AC25" s="205">
        <f t="shared" si="3"/>
        <v>323.025</v>
      </c>
      <c r="AD25" s="205">
        <f t="shared" si="3"/>
        <v>56.418749999999996</v>
      </c>
      <c r="AE25" s="205">
        <f t="shared" si="4"/>
        <v>82.80359374999999</v>
      </c>
      <c r="AF25" s="205">
        <f t="shared" si="4"/>
        <v>513.38228125</v>
      </c>
      <c r="AG25" s="205">
        <f t="shared" si="4"/>
        <v>356.055453125</v>
      </c>
      <c r="AH25" s="206">
        <f t="shared" si="9"/>
        <v>1331.685078125</v>
      </c>
      <c r="AI25" s="206">
        <f t="shared" si="5"/>
        <v>5520.239583333333</v>
      </c>
      <c r="AJ25" s="207">
        <f t="shared" si="10"/>
        <v>6851.9246614583335</v>
      </c>
      <c r="AK25" s="208"/>
      <c r="AL25" s="221">
        <f t="shared" si="11"/>
        <v>2997.5783333333334</v>
      </c>
      <c r="AM25" s="222">
        <f t="shared" si="6"/>
        <v>3854.346328125</v>
      </c>
      <c r="AN25" s="208"/>
      <c r="AO25" s="227">
        <f t="shared" si="7"/>
        <v>323.025</v>
      </c>
      <c r="AP25" s="227">
        <f t="shared" si="7"/>
        <v>56.418749999999996</v>
      </c>
      <c r="AQ25" s="205">
        <f t="shared" si="12"/>
        <v>82.80359374999999</v>
      </c>
      <c r="AR25" s="205">
        <f t="shared" si="12"/>
        <v>513.38228125</v>
      </c>
      <c r="AS25" s="205">
        <f t="shared" si="12"/>
        <v>99.91633645833333</v>
      </c>
      <c r="AT25" s="231">
        <f t="shared" si="13"/>
        <v>1075.5459614583333</v>
      </c>
    </row>
    <row r="26" spans="1:46" ht="11.25" customHeight="1">
      <c r="A26" s="8">
        <v>20</v>
      </c>
      <c r="B26" s="8">
        <v>46</v>
      </c>
      <c r="C26" s="8"/>
      <c r="D26" s="346">
        <v>7</v>
      </c>
      <c r="E26" s="17">
        <f>VLOOKUP(D26,'A13 - Tabelle'!$A$6:$F$13,6)</f>
        <v>59487.12</v>
      </c>
      <c r="F26" s="17">
        <f>VLOOKUP(D26,'A13 - Tabelle'!$A$6:$G$13,7)</f>
        <v>43372</v>
      </c>
      <c r="G26" s="18">
        <f t="shared" si="0"/>
        <v>40852</v>
      </c>
      <c r="H26" s="19"/>
      <c r="I26" s="16">
        <v>5</v>
      </c>
      <c r="J26" s="17">
        <f>VLOOKUP(I26,'E13 - Tabelle'!$A$7:$L$19,11)</f>
        <v>66242.875</v>
      </c>
      <c r="K26" s="20">
        <f>VLOOKUP(I26,'E13 - Tabelle'!$A$7:$L$19,12)</f>
        <v>35970.94</v>
      </c>
      <c r="L26" s="28">
        <f t="shared" si="1"/>
        <v>-4881.059999999998</v>
      </c>
      <c r="M26" s="32">
        <f t="shared" si="14"/>
        <v>-91172.82999999996</v>
      </c>
      <c r="N26" s="8">
        <v>20</v>
      </c>
      <c r="O26" s="8">
        <v>46</v>
      </c>
      <c r="P26" s="47"/>
      <c r="Q26" s="47"/>
      <c r="R26" s="71"/>
      <c r="S26" s="197"/>
      <c r="T26" s="204"/>
      <c r="U26" s="370">
        <f t="shared" si="8"/>
        <v>1.8128865626710455</v>
      </c>
      <c r="V26" s="371"/>
      <c r="W26" s="68">
        <v>1.3</v>
      </c>
      <c r="X26" s="370">
        <f t="shared" si="2"/>
        <v>7.176311458333333</v>
      </c>
      <c r="Y26" s="68"/>
      <c r="Z26" s="372"/>
      <c r="AA26" s="197"/>
      <c r="AB26" s="204"/>
      <c r="AC26" s="205">
        <f t="shared" si="3"/>
        <v>323.025</v>
      </c>
      <c r="AD26" s="205">
        <f t="shared" si="3"/>
        <v>56.418749999999996</v>
      </c>
      <c r="AE26" s="205">
        <f t="shared" si="4"/>
        <v>82.80359374999999</v>
      </c>
      <c r="AF26" s="205">
        <f t="shared" si="4"/>
        <v>513.38228125</v>
      </c>
      <c r="AG26" s="205">
        <f t="shared" si="4"/>
        <v>356.055453125</v>
      </c>
      <c r="AH26" s="206">
        <f t="shared" si="9"/>
        <v>1331.685078125</v>
      </c>
      <c r="AI26" s="206">
        <f t="shared" si="5"/>
        <v>5520.239583333333</v>
      </c>
      <c r="AJ26" s="207">
        <f t="shared" si="10"/>
        <v>6851.9246614583335</v>
      </c>
      <c r="AK26" s="208"/>
      <c r="AL26" s="221">
        <f t="shared" si="11"/>
        <v>2997.5783333333334</v>
      </c>
      <c r="AM26" s="222">
        <f t="shared" si="6"/>
        <v>3854.346328125</v>
      </c>
      <c r="AN26" s="208"/>
      <c r="AO26" s="227">
        <f t="shared" si="7"/>
        <v>323.025</v>
      </c>
      <c r="AP26" s="227">
        <f t="shared" si="7"/>
        <v>56.418749999999996</v>
      </c>
      <c r="AQ26" s="205">
        <f t="shared" si="12"/>
        <v>82.80359374999999</v>
      </c>
      <c r="AR26" s="205">
        <f t="shared" si="12"/>
        <v>513.38228125</v>
      </c>
      <c r="AS26" s="205">
        <f t="shared" si="12"/>
        <v>99.91633645833333</v>
      </c>
      <c r="AT26" s="231">
        <f t="shared" si="13"/>
        <v>1075.5459614583333</v>
      </c>
    </row>
    <row r="27" spans="1:46" ht="11.25" customHeight="1">
      <c r="A27" s="8">
        <v>21</v>
      </c>
      <c r="B27" s="8">
        <v>47</v>
      </c>
      <c r="C27" s="8"/>
      <c r="D27" s="346">
        <v>7</v>
      </c>
      <c r="E27" s="17">
        <f>VLOOKUP(D27,'A13 - Tabelle'!$A$6:$F$13,6)</f>
        <v>59487.12</v>
      </c>
      <c r="F27" s="17">
        <f>VLOOKUP(D27,'A13 - Tabelle'!$A$6:$G$13,7)</f>
        <v>43372</v>
      </c>
      <c r="G27" s="18">
        <f t="shared" si="0"/>
        <v>40852</v>
      </c>
      <c r="H27" s="19"/>
      <c r="I27" s="16">
        <v>5</v>
      </c>
      <c r="J27" s="17">
        <f>VLOOKUP(I27,'E13 - Tabelle'!$A$7:$L$19,11)</f>
        <v>66242.875</v>
      </c>
      <c r="K27" s="20">
        <f>VLOOKUP(I27,'E13 - Tabelle'!$A$7:$L$19,12)</f>
        <v>35970.94</v>
      </c>
      <c r="L27" s="28">
        <f t="shared" si="1"/>
        <v>-4881.059999999998</v>
      </c>
      <c r="M27" s="32">
        <f t="shared" si="14"/>
        <v>-96053.88999999996</v>
      </c>
      <c r="N27" s="8">
        <v>21</v>
      </c>
      <c r="O27" s="8">
        <v>47</v>
      </c>
      <c r="P27" s="49"/>
      <c r="Q27" s="49"/>
      <c r="R27" s="71"/>
      <c r="S27" s="197"/>
      <c r="T27" s="204"/>
      <c r="U27" s="370">
        <f t="shared" si="8"/>
        <v>1.8128865626710455</v>
      </c>
      <c r="V27" s="371"/>
      <c r="W27" s="68">
        <v>1.2</v>
      </c>
      <c r="X27" s="370">
        <f t="shared" si="2"/>
        <v>6.624287499999999</v>
      </c>
      <c r="Y27" s="68"/>
      <c r="Z27" s="372"/>
      <c r="AA27" s="197"/>
      <c r="AB27" s="204"/>
      <c r="AC27" s="205">
        <f aca="true" t="shared" si="15" ref="AC27:AD46">IF(($J27&lt;$AJ$1),$J27/12*AC$5,$AJ$1/12*AC$5)</f>
        <v>323.025</v>
      </c>
      <c r="AD27" s="205">
        <f t="shared" si="15"/>
        <v>56.418749999999996</v>
      </c>
      <c r="AE27" s="205">
        <f aca="true" t="shared" si="16" ref="AE27:AG46">$J27/12*AE$5</f>
        <v>82.80359374999999</v>
      </c>
      <c r="AF27" s="205">
        <f t="shared" si="16"/>
        <v>513.38228125</v>
      </c>
      <c r="AG27" s="205">
        <f t="shared" si="16"/>
        <v>356.055453125</v>
      </c>
      <c r="AH27" s="206">
        <f t="shared" si="9"/>
        <v>1331.685078125</v>
      </c>
      <c r="AI27" s="206">
        <f t="shared" si="5"/>
        <v>5520.239583333333</v>
      </c>
      <c r="AJ27" s="207">
        <f t="shared" si="10"/>
        <v>6851.9246614583335</v>
      </c>
      <c r="AK27" s="208"/>
      <c r="AL27" s="221">
        <f t="shared" si="11"/>
        <v>2997.5783333333334</v>
      </c>
      <c r="AM27" s="222">
        <f t="shared" si="6"/>
        <v>3854.346328125</v>
      </c>
      <c r="AN27" s="208"/>
      <c r="AO27" s="227">
        <f aca="true" t="shared" si="17" ref="AO27:AP46">IF(($J27&lt;$AJ$1),$J27/12*AO$5,$AJ$1/12*AO$5)</f>
        <v>323.025</v>
      </c>
      <c r="AP27" s="227">
        <f t="shared" si="17"/>
        <v>56.418749999999996</v>
      </c>
      <c r="AQ27" s="205">
        <f t="shared" si="12"/>
        <v>82.80359374999999</v>
      </c>
      <c r="AR27" s="205">
        <f t="shared" si="12"/>
        <v>513.38228125</v>
      </c>
      <c r="AS27" s="205">
        <f t="shared" si="12"/>
        <v>99.91633645833333</v>
      </c>
      <c r="AT27" s="231">
        <f t="shared" si="13"/>
        <v>1075.5459614583333</v>
      </c>
    </row>
    <row r="28" spans="1:46" ht="11.25" customHeight="1">
      <c r="A28" s="8">
        <v>22</v>
      </c>
      <c r="B28" s="8">
        <v>48</v>
      </c>
      <c r="C28" s="8"/>
      <c r="D28" s="346">
        <v>7</v>
      </c>
      <c r="E28" s="17">
        <f>VLOOKUP(D28,'A13 - Tabelle'!$A$6:$F$13,6)</f>
        <v>59487.12</v>
      </c>
      <c r="F28" s="17">
        <f>VLOOKUP(D28,'A13 - Tabelle'!$A$6:$G$13,7)</f>
        <v>43372</v>
      </c>
      <c r="G28" s="18">
        <f t="shared" si="0"/>
        <v>40852</v>
      </c>
      <c r="H28" s="19"/>
      <c r="I28" s="16">
        <v>5</v>
      </c>
      <c r="J28" s="17">
        <f>VLOOKUP(I28,'E13 - Tabelle'!$A$7:$L$19,11)</f>
        <v>66242.875</v>
      </c>
      <c r="K28" s="20">
        <f>VLOOKUP(I28,'E13 - Tabelle'!$A$7:$L$19,12)</f>
        <v>35970.94</v>
      </c>
      <c r="L28" s="28">
        <f t="shared" si="1"/>
        <v>-4881.059999999998</v>
      </c>
      <c r="M28" s="32">
        <f t="shared" si="14"/>
        <v>-100934.94999999995</v>
      </c>
      <c r="N28" s="8">
        <v>22</v>
      </c>
      <c r="O28" s="8">
        <v>48</v>
      </c>
      <c r="P28" s="47"/>
      <c r="Q28" s="47"/>
      <c r="R28" s="71"/>
      <c r="S28" s="197"/>
      <c r="T28" s="204"/>
      <c r="U28" s="370">
        <f t="shared" si="8"/>
        <v>1.8128865626710455</v>
      </c>
      <c r="V28" s="371"/>
      <c r="W28" s="68">
        <v>1.2</v>
      </c>
      <c r="X28" s="370">
        <f t="shared" si="2"/>
        <v>6.624287499999999</v>
      </c>
      <c r="Y28" s="68"/>
      <c r="Z28" s="372"/>
      <c r="AA28" s="197"/>
      <c r="AB28" s="204"/>
      <c r="AC28" s="205">
        <f t="shared" si="15"/>
        <v>323.025</v>
      </c>
      <c r="AD28" s="205">
        <f t="shared" si="15"/>
        <v>56.418749999999996</v>
      </c>
      <c r="AE28" s="205">
        <f t="shared" si="16"/>
        <v>82.80359374999999</v>
      </c>
      <c r="AF28" s="205">
        <f t="shared" si="16"/>
        <v>513.38228125</v>
      </c>
      <c r="AG28" s="205">
        <f t="shared" si="16"/>
        <v>356.055453125</v>
      </c>
      <c r="AH28" s="206">
        <f t="shared" si="9"/>
        <v>1331.685078125</v>
      </c>
      <c r="AI28" s="206">
        <f t="shared" si="5"/>
        <v>5520.239583333333</v>
      </c>
      <c r="AJ28" s="207">
        <f t="shared" si="10"/>
        <v>6851.9246614583335</v>
      </c>
      <c r="AK28" s="208"/>
      <c r="AL28" s="221">
        <f t="shared" si="11"/>
        <v>2997.5783333333334</v>
      </c>
      <c r="AM28" s="222">
        <f t="shared" si="6"/>
        <v>3854.346328125</v>
      </c>
      <c r="AN28" s="208"/>
      <c r="AO28" s="227">
        <f t="shared" si="17"/>
        <v>323.025</v>
      </c>
      <c r="AP28" s="227">
        <f t="shared" si="17"/>
        <v>56.418749999999996</v>
      </c>
      <c r="AQ28" s="205">
        <f t="shared" si="12"/>
        <v>82.80359374999999</v>
      </c>
      <c r="AR28" s="205">
        <f t="shared" si="12"/>
        <v>513.38228125</v>
      </c>
      <c r="AS28" s="205">
        <f t="shared" si="12"/>
        <v>99.91633645833333</v>
      </c>
      <c r="AT28" s="231">
        <f t="shared" si="13"/>
        <v>1075.5459614583333</v>
      </c>
    </row>
    <row r="29" spans="1:46" ht="11.25" customHeight="1">
      <c r="A29" s="8">
        <v>23</v>
      </c>
      <c r="B29" s="8">
        <v>49</v>
      </c>
      <c r="C29" s="8"/>
      <c r="D29" s="346">
        <v>8</v>
      </c>
      <c r="E29" s="17">
        <f>VLOOKUP(D29,'A13 - Tabelle'!$A$6:$F$13,6)</f>
        <v>60640.31999999999</v>
      </c>
      <c r="F29" s="17">
        <f>VLOOKUP(D29,'A13 - Tabelle'!$A$6:$G$13,7)</f>
        <v>44013.52</v>
      </c>
      <c r="G29" s="18">
        <f t="shared" si="0"/>
        <v>41493.52</v>
      </c>
      <c r="H29" s="19"/>
      <c r="I29" s="16">
        <v>5</v>
      </c>
      <c r="J29" s="17">
        <f>VLOOKUP(I29,'E13 - Tabelle'!$A$7:$L$19,11)</f>
        <v>66242.875</v>
      </c>
      <c r="K29" s="20">
        <f>VLOOKUP(I29,'E13 - Tabelle'!$A$7:$L$19,12)</f>
        <v>35970.94</v>
      </c>
      <c r="L29" s="28">
        <f t="shared" si="1"/>
        <v>-5522.5799999999945</v>
      </c>
      <c r="M29" s="32">
        <f t="shared" si="14"/>
        <v>-106457.52999999994</v>
      </c>
      <c r="N29" s="8">
        <v>23</v>
      </c>
      <c r="O29" s="8">
        <v>49</v>
      </c>
      <c r="P29" s="47"/>
      <c r="Q29" s="47"/>
      <c r="R29" s="71"/>
      <c r="S29" s="197"/>
      <c r="T29" s="204"/>
      <c r="U29" s="370">
        <f t="shared" si="8"/>
        <v>1.8128865626710455</v>
      </c>
      <c r="V29" s="371"/>
      <c r="W29" s="68">
        <v>1.2</v>
      </c>
      <c r="X29" s="370">
        <f t="shared" si="2"/>
        <v>6.624287499999999</v>
      </c>
      <c r="Y29" s="68"/>
      <c r="Z29" s="372"/>
      <c r="AA29" s="197"/>
      <c r="AB29" s="204"/>
      <c r="AC29" s="205">
        <f t="shared" si="15"/>
        <v>323.025</v>
      </c>
      <c r="AD29" s="205">
        <f t="shared" si="15"/>
        <v>56.418749999999996</v>
      </c>
      <c r="AE29" s="205">
        <f t="shared" si="16"/>
        <v>82.80359374999999</v>
      </c>
      <c r="AF29" s="205">
        <f t="shared" si="16"/>
        <v>513.38228125</v>
      </c>
      <c r="AG29" s="205">
        <f t="shared" si="16"/>
        <v>356.055453125</v>
      </c>
      <c r="AH29" s="206">
        <f t="shared" si="9"/>
        <v>1331.685078125</v>
      </c>
      <c r="AI29" s="206">
        <f t="shared" si="5"/>
        <v>5520.239583333333</v>
      </c>
      <c r="AJ29" s="207">
        <f t="shared" si="10"/>
        <v>6851.9246614583335</v>
      </c>
      <c r="AK29" s="208"/>
      <c r="AL29" s="221">
        <f t="shared" si="11"/>
        <v>2997.5783333333334</v>
      </c>
      <c r="AM29" s="222">
        <f t="shared" si="6"/>
        <v>3854.346328125</v>
      </c>
      <c r="AN29" s="208"/>
      <c r="AO29" s="227">
        <f t="shared" si="17"/>
        <v>323.025</v>
      </c>
      <c r="AP29" s="227">
        <f t="shared" si="17"/>
        <v>56.418749999999996</v>
      </c>
      <c r="AQ29" s="205">
        <f t="shared" si="12"/>
        <v>82.80359374999999</v>
      </c>
      <c r="AR29" s="205">
        <f t="shared" si="12"/>
        <v>513.38228125</v>
      </c>
      <c r="AS29" s="205">
        <f t="shared" si="12"/>
        <v>99.91633645833333</v>
      </c>
      <c r="AT29" s="231">
        <f t="shared" si="13"/>
        <v>1075.5459614583333</v>
      </c>
    </row>
    <row r="30" spans="1:46" ht="11.25" customHeight="1">
      <c r="A30" s="8">
        <v>24</v>
      </c>
      <c r="B30" s="8">
        <v>50</v>
      </c>
      <c r="C30" s="8"/>
      <c r="D30" s="346">
        <v>8</v>
      </c>
      <c r="E30" s="17">
        <f>VLOOKUP(D30,'A13 - Tabelle'!$A$6:$F$13,6)</f>
        <v>60640.31999999999</v>
      </c>
      <c r="F30" s="17">
        <f>VLOOKUP(D30,'A13 - Tabelle'!$A$6:$G$13,7)</f>
        <v>44013.52</v>
      </c>
      <c r="G30" s="18">
        <f t="shared" si="0"/>
        <v>41493.52</v>
      </c>
      <c r="H30" s="19"/>
      <c r="I30" s="16">
        <v>5</v>
      </c>
      <c r="J30" s="17">
        <f>VLOOKUP(I30,'E13 - Tabelle'!$A$7:$L$19,11)</f>
        <v>66242.875</v>
      </c>
      <c r="K30" s="20">
        <f>VLOOKUP(I30,'E13 - Tabelle'!$A$7:$L$19,12)</f>
        <v>35970.94</v>
      </c>
      <c r="L30" s="28">
        <f t="shared" si="1"/>
        <v>-5522.5799999999945</v>
      </c>
      <c r="M30" s="32">
        <f t="shared" si="14"/>
        <v>-111980.10999999993</v>
      </c>
      <c r="N30" s="8">
        <v>24</v>
      </c>
      <c r="O30" s="8">
        <v>50</v>
      </c>
      <c r="P30" s="47"/>
      <c r="Q30" s="47"/>
      <c r="R30" s="71"/>
      <c r="S30" s="197"/>
      <c r="T30" s="204"/>
      <c r="U30" s="370">
        <f t="shared" si="8"/>
        <v>1.8128865626710455</v>
      </c>
      <c r="V30" s="371"/>
      <c r="W30" s="68">
        <v>1.1</v>
      </c>
      <c r="X30" s="370">
        <f t="shared" si="2"/>
        <v>6.072263541666667</v>
      </c>
      <c r="Y30" s="68"/>
      <c r="Z30" s="372"/>
      <c r="AA30" s="197"/>
      <c r="AB30" s="204"/>
      <c r="AC30" s="205">
        <f t="shared" si="15"/>
        <v>323.025</v>
      </c>
      <c r="AD30" s="205">
        <f t="shared" si="15"/>
        <v>56.418749999999996</v>
      </c>
      <c r="AE30" s="205">
        <f t="shared" si="16"/>
        <v>82.80359374999999</v>
      </c>
      <c r="AF30" s="205">
        <f t="shared" si="16"/>
        <v>513.38228125</v>
      </c>
      <c r="AG30" s="205">
        <f t="shared" si="16"/>
        <v>356.055453125</v>
      </c>
      <c r="AH30" s="206">
        <f t="shared" si="9"/>
        <v>1331.685078125</v>
      </c>
      <c r="AI30" s="206">
        <f t="shared" si="5"/>
        <v>5520.239583333333</v>
      </c>
      <c r="AJ30" s="207">
        <f t="shared" si="10"/>
        <v>6851.9246614583335</v>
      </c>
      <c r="AK30" s="208"/>
      <c r="AL30" s="221">
        <f t="shared" si="11"/>
        <v>2997.5783333333334</v>
      </c>
      <c r="AM30" s="222">
        <f t="shared" si="6"/>
        <v>3854.346328125</v>
      </c>
      <c r="AN30" s="208"/>
      <c r="AO30" s="227">
        <f t="shared" si="17"/>
        <v>323.025</v>
      </c>
      <c r="AP30" s="227">
        <f t="shared" si="17"/>
        <v>56.418749999999996</v>
      </c>
      <c r="AQ30" s="205">
        <f t="shared" si="12"/>
        <v>82.80359374999999</v>
      </c>
      <c r="AR30" s="205">
        <f t="shared" si="12"/>
        <v>513.38228125</v>
      </c>
      <c r="AS30" s="205">
        <f t="shared" si="12"/>
        <v>99.91633645833333</v>
      </c>
      <c r="AT30" s="231">
        <f t="shared" si="13"/>
        <v>1075.5459614583333</v>
      </c>
    </row>
    <row r="31" spans="1:46" ht="11.25" customHeight="1">
      <c r="A31" s="8">
        <v>25</v>
      </c>
      <c r="B31" s="8">
        <v>51</v>
      </c>
      <c r="C31" s="8"/>
      <c r="D31" s="16">
        <v>8</v>
      </c>
      <c r="E31" s="17">
        <f>VLOOKUP(D31,'A13 - Tabelle'!$A$6:$F$13,6)</f>
        <v>60640.31999999999</v>
      </c>
      <c r="F31" s="17">
        <f>VLOOKUP(D31,'A13 - Tabelle'!$A$6:$G$13,7)</f>
        <v>44013.52</v>
      </c>
      <c r="G31" s="18">
        <f t="shared" si="0"/>
        <v>41493.52</v>
      </c>
      <c r="H31" s="19"/>
      <c r="I31" s="16">
        <v>5</v>
      </c>
      <c r="J31" s="17">
        <f>VLOOKUP(I31,'E13 - Tabelle'!$A$7:$L$19,11)</f>
        <v>66242.875</v>
      </c>
      <c r="K31" s="20">
        <f>VLOOKUP(I31,'E13 - Tabelle'!$A$7:$L$19,12)</f>
        <v>35970.94</v>
      </c>
      <c r="L31" s="28">
        <f t="shared" si="1"/>
        <v>-5522.5799999999945</v>
      </c>
      <c r="M31" s="32">
        <f t="shared" si="14"/>
        <v>-117502.68999999992</v>
      </c>
      <c r="N31" s="8">
        <v>25</v>
      </c>
      <c r="O31" s="8">
        <v>51</v>
      </c>
      <c r="P31" s="47"/>
      <c r="Q31" s="47"/>
      <c r="R31" s="71"/>
      <c r="S31" s="197"/>
      <c r="T31" s="204"/>
      <c r="U31" s="370">
        <f t="shared" si="8"/>
        <v>1.8128865626710455</v>
      </c>
      <c r="V31" s="371"/>
      <c r="W31" s="68">
        <v>1.1</v>
      </c>
      <c r="X31" s="370">
        <f t="shared" si="2"/>
        <v>6.072263541666667</v>
      </c>
      <c r="Y31" s="68"/>
      <c r="Z31" s="372"/>
      <c r="AA31" s="197"/>
      <c r="AB31" s="204"/>
      <c r="AC31" s="205">
        <f t="shared" si="15"/>
        <v>323.025</v>
      </c>
      <c r="AD31" s="205">
        <f t="shared" si="15"/>
        <v>56.418749999999996</v>
      </c>
      <c r="AE31" s="205">
        <f t="shared" si="16"/>
        <v>82.80359374999999</v>
      </c>
      <c r="AF31" s="205">
        <f t="shared" si="16"/>
        <v>513.38228125</v>
      </c>
      <c r="AG31" s="205">
        <f t="shared" si="16"/>
        <v>356.055453125</v>
      </c>
      <c r="AH31" s="206">
        <f t="shared" si="9"/>
        <v>1331.685078125</v>
      </c>
      <c r="AI31" s="206">
        <f t="shared" si="5"/>
        <v>5520.239583333333</v>
      </c>
      <c r="AJ31" s="207">
        <f t="shared" si="10"/>
        <v>6851.9246614583335</v>
      </c>
      <c r="AK31" s="208"/>
      <c r="AL31" s="221">
        <f t="shared" si="11"/>
        <v>2997.5783333333334</v>
      </c>
      <c r="AM31" s="222">
        <f t="shared" si="6"/>
        <v>3854.346328125</v>
      </c>
      <c r="AN31" s="208"/>
      <c r="AO31" s="227">
        <f t="shared" si="17"/>
        <v>323.025</v>
      </c>
      <c r="AP31" s="227">
        <f t="shared" si="17"/>
        <v>56.418749999999996</v>
      </c>
      <c r="AQ31" s="205">
        <f t="shared" si="12"/>
        <v>82.80359374999999</v>
      </c>
      <c r="AR31" s="205">
        <f t="shared" si="12"/>
        <v>513.38228125</v>
      </c>
      <c r="AS31" s="205">
        <f t="shared" si="12"/>
        <v>99.91633645833333</v>
      </c>
      <c r="AT31" s="231">
        <f t="shared" si="13"/>
        <v>1075.5459614583333</v>
      </c>
    </row>
    <row r="32" spans="1:46" ht="11.25" customHeight="1">
      <c r="A32" s="8">
        <v>26</v>
      </c>
      <c r="B32" s="8">
        <v>52</v>
      </c>
      <c r="C32" s="8"/>
      <c r="D32" s="16">
        <v>8</v>
      </c>
      <c r="E32" s="17">
        <f>VLOOKUP(D32,'A13 - Tabelle'!$A$6:$F$13,6)</f>
        <v>60640.31999999999</v>
      </c>
      <c r="F32" s="17">
        <f>VLOOKUP(D32,'A13 - Tabelle'!$A$6:$G$13,7)</f>
        <v>44013.52</v>
      </c>
      <c r="G32" s="18">
        <f t="shared" si="0"/>
        <v>41493.52</v>
      </c>
      <c r="H32" s="19"/>
      <c r="I32" s="16">
        <v>5</v>
      </c>
      <c r="J32" s="17">
        <f>VLOOKUP(I32,'E13 - Tabelle'!$A$7:$L$19,11)</f>
        <v>66242.875</v>
      </c>
      <c r="K32" s="20">
        <f>VLOOKUP(I32,'E13 - Tabelle'!$A$7:$L$19,12)</f>
        <v>35970.94</v>
      </c>
      <c r="L32" s="28">
        <f t="shared" si="1"/>
        <v>-5522.5799999999945</v>
      </c>
      <c r="M32" s="32">
        <f t="shared" si="14"/>
        <v>-123025.2699999999</v>
      </c>
      <c r="N32" s="8">
        <v>26</v>
      </c>
      <c r="O32" s="8">
        <v>52</v>
      </c>
      <c r="P32" s="47"/>
      <c r="Q32" s="47"/>
      <c r="R32" s="71"/>
      <c r="S32" s="197"/>
      <c r="T32" s="204"/>
      <c r="U32" s="370">
        <f t="shared" si="8"/>
        <v>1.8128865626710455</v>
      </c>
      <c r="V32" s="371"/>
      <c r="W32" s="68">
        <v>1.1</v>
      </c>
      <c r="X32" s="370">
        <f t="shared" si="2"/>
        <v>6.072263541666667</v>
      </c>
      <c r="Y32" s="68"/>
      <c r="Z32" s="372"/>
      <c r="AA32" s="197"/>
      <c r="AB32" s="204"/>
      <c r="AC32" s="205">
        <f t="shared" si="15"/>
        <v>323.025</v>
      </c>
      <c r="AD32" s="205">
        <f t="shared" si="15"/>
        <v>56.418749999999996</v>
      </c>
      <c r="AE32" s="205">
        <f t="shared" si="16"/>
        <v>82.80359374999999</v>
      </c>
      <c r="AF32" s="205">
        <f t="shared" si="16"/>
        <v>513.38228125</v>
      </c>
      <c r="AG32" s="205">
        <f t="shared" si="16"/>
        <v>356.055453125</v>
      </c>
      <c r="AH32" s="206">
        <f t="shared" si="9"/>
        <v>1331.685078125</v>
      </c>
      <c r="AI32" s="206">
        <f t="shared" si="5"/>
        <v>5520.239583333333</v>
      </c>
      <c r="AJ32" s="207">
        <f t="shared" si="10"/>
        <v>6851.9246614583335</v>
      </c>
      <c r="AK32" s="208"/>
      <c r="AL32" s="221">
        <f t="shared" si="11"/>
        <v>2997.5783333333334</v>
      </c>
      <c r="AM32" s="222">
        <f t="shared" si="6"/>
        <v>3854.346328125</v>
      </c>
      <c r="AN32" s="208"/>
      <c r="AO32" s="227">
        <f t="shared" si="17"/>
        <v>323.025</v>
      </c>
      <c r="AP32" s="227">
        <f t="shared" si="17"/>
        <v>56.418749999999996</v>
      </c>
      <c r="AQ32" s="205">
        <f t="shared" si="12"/>
        <v>82.80359374999999</v>
      </c>
      <c r="AR32" s="205">
        <f t="shared" si="12"/>
        <v>513.38228125</v>
      </c>
      <c r="AS32" s="205">
        <f t="shared" si="12"/>
        <v>99.91633645833333</v>
      </c>
      <c r="AT32" s="231">
        <f t="shared" si="13"/>
        <v>1075.5459614583333</v>
      </c>
    </row>
    <row r="33" spans="1:46" ht="11.25" customHeight="1">
      <c r="A33" s="8">
        <v>27</v>
      </c>
      <c r="B33" s="8">
        <v>53</v>
      </c>
      <c r="C33" s="8"/>
      <c r="D33" s="16">
        <v>8</v>
      </c>
      <c r="E33" s="17">
        <f>VLOOKUP(D33,'A13 - Tabelle'!$A$6:$F$13,6)</f>
        <v>60640.31999999999</v>
      </c>
      <c r="F33" s="17">
        <f>VLOOKUP(D33,'A13 - Tabelle'!$A$6:$G$13,7)</f>
        <v>44013.52</v>
      </c>
      <c r="G33" s="18">
        <f t="shared" si="0"/>
        <v>41493.52</v>
      </c>
      <c r="H33" s="19"/>
      <c r="I33" s="16">
        <v>5</v>
      </c>
      <c r="J33" s="17">
        <f>VLOOKUP(I33,'E13 - Tabelle'!$A$7:$L$19,11)</f>
        <v>66242.875</v>
      </c>
      <c r="K33" s="20">
        <f>VLOOKUP(I33,'E13 - Tabelle'!$A$7:$L$19,12)</f>
        <v>35970.94</v>
      </c>
      <c r="L33" s="28">
        <f t="shared" si="1"/>
        <v>-5522.5799999999945</v>
      </c>
      <c r="M33" s="32">
        <f t="shared" si="14"/>
        <v>-128547.84999999989</v>
      </c>
      <c r="N33" s="8">
        <v>27</v>
      </c>
      <c r="O33" s="8">
        <v>53</v>
      </c>
      <c r="P33" s="47"/>
      <c r="Q33" s="47"/>
      <c r="R33" s="71"/>
      <c r="S33" s="197"/>
      <c r="T33" s="204"/>
      <c r="U33" s="370">
        <f t="shared" si="8"/>
        <v>1.8128865626710455</v>
      </c>
      <c r="V33" s="371"/>
      <c r="W33" s="68">
        <v>1</v>
      </c>
      <c r="X33" s="370">
        <f t="shared" si="2"/>
        <v>5.520239583333333</v>
      </c>
      <c r="Y33" s="68"/>
      <c r="Z33" s="372"/>
      <c r="AA33" s="197"/>
      <c r="AB33" s="204"/>
      <c r="AC33" s="205">
        <f t="shared" si="15"/>
        <v>323.025</v>
      </c>
      <c r="AD33" s="205">
        <f t="shared" si="15"/>
        <v>56.418749999999996</v>
      </c>
      <c r="AE33" s="205">
        <f t="shared" si="16"/>
        <v>82.80359374999999</v>
      </c>
      <c r="AF33" s="205">
        <f t="shared" si="16"/>
        <v>513.38228125</v>
      </c>
      <c r="AG33" s="205">
        <f t="shared" si="16"/>
        <v>356.055453125</v>
      </c>
      <c r="AH33" s="206">
        <f t="shared" si="9"/>
        <v>1331.685078125</v>
      </c>
      <c r="AI33" s="206">
        <f t="shared" si="5"/>
        <v>5520.239583333333</v>
      </c>
      <c r="AJ33" s="207">
        <f t="shared" si="10"/>
        <v>6851.9246614583335</v>
      </c>
      <c r="AK33" s="208"/>
      <c r="AL33" s="221">
        <f t="shared" si="11"/>
        <v>2997.5783333333334</v>
      </c>
      <c r="AM33" s="222">
        <f t="shared" si="6"/>
        <v>3854.346328125</v>
      </c>
      <c r="AN33" s="208"/>
      <c r="AO33" s="227">
        <f t="shared" si="17"/>
        <v>323.025</v>
      </c>
      <c r="AP33" s="227">
        <f t="shared" si="17"/>
        <v>56.418749999999996</v>
      </c>
      <c r="AQ33" s="205">
        <f t="shared" si="12"/>
        <v>82.80359374999999</v>
      </c>
      <c r="AR33" s="205">
        <f t="shared" si="12"/>
        <v>513.38228125</v>
      </c>
      <c r="AS33" s="205">
        <f t="shared" si="12"/>
        <v>99.91633645833333</v>
      </c>
      <c r="AT33" s="231">
        <f t="shared" si="13"/>
        <v>1075.5459614583333</v>
      </c>
    </row>
    <row r="34" spans="1:46" ht="11.25" customHeight="1">
      <c r="A34" s="8">
        <v>28</v>
      </c>
      <c r="B34" s="8">
        <v>54</v>
      </c>
      <c r="C34" s="8"/>
      <c r="D34" s="16">
        <v>8</v>
      </c>
      <c r="E34" s="17">
        <f>VLOOKUP(D34,'A13 - Tabelle'!$A$6:$F$13,6)</f>
        <v>60640.31999999999</v>
      </c>
      <c r="F34" s="17">
        <f>VLOOKUP(D34,'A13 - Tabelle'!$A$6:$G$13,7)</f>
        <v>44013.52</v>
      </c>
      <c r="G34" s="18">
        <f t="shared" si="0"/>
        <v>41493.52</v>
      </c>
      <c r="H34" s="19"/>
      <c r="I34" s="16">
        <v>5</v>
      </c>
      <c r="J34" s="17">
        <f>VLOOKUP(I34,'E13 - Tabelle'!$A$7:$L$19,11)</f>
        <v>66242.875</v>
      </c>
      <c r="K34" s="20">
        <f>VLOOKUP(I34,'E13 - Tabelle'!$A$7:$L$19,12)</f>
        <v>35970.94</v>
      </c>
      <c r="L34" s="28">
        <f t="shared" si="1"/>
        <v>-5522.5799999999945</v>
      </c>
      <c r="M34" s="32">
        <f t="shared" si="14"/>
        <v>-134070.42999999988</v>
      </c>
      <c r="N34" s="8">
        <v>28</v>
      </c>
      <c r="O34" s="8">
        <v>54</v>
      </c>
      <c r="P34" s="47"/>
      <c r="Q34" s="47"/>
      <c r="R34" s="71"/>
      <c r="S34" s="197"/>
      <c r="T34" s="204"/>
      <c r="U34" s="370">
        <f t="shared" si="8"/>
        <v>1.8128865626710455</v>
      </c>
      <c r="V34" s="371"/>
      <c r="W34" s="68">
        <v>1</v>
      </c>
      <c r="X34" s="370">
        <f t="shared" si="2"/>
        <v>5.520239583333333</v>
      </c>
      <c r="Y34" s="68"/>
      <c r="Z34" s="372"/>
      <c r="AA34" s="197"/>
      <c r="AB34" s="204"/>
      <c r="AC34" s="205">
        <f t="shared" si="15"/>
        <v>323.025</v>
      </c>
      <c r="AD34" s="205">
        <f t="shared" si="15"/>
        <v>56.418749999999996</v>
      </c>
      <c r="AE34" s="205">
        <f t="shared" si="16"/>
        <v>82.80359374999999</v>
      </c>
      <c r="AF34" s="205">
        <f t="shared" si="16"/>
        <v>513.38228125</v>
      </c>
      <c r="AG34" s="205">
        <f t="shared" si="16"/>
        <v>356.055453125</v>
      </c>
      <c r="AH34" s="206">
        <f t="shared" si="9"/>
        <v>1331.685078125</v>
      </c>
      <c r="AI34" s="206">
        <f t="shared" si="5"/>
        <v>5520.239583333333</v>
      </c>
      <c r="AJ34" s="207">
        <f t="shared" si="10"/>
        <v>6851.9246614583335</v>
      </c>
      <c r="AK34" s="208"/>
      <c r="AL34" s="221">
        <f t="shared" si="11"/>
        <v>2997.5783333333334</v>
      </c>
      <c r="AM34" s="222">
        <f t="shared" si="6"/>
        <v>3854.346328125</v>
      </c>
      <c r="AN34" s="208"/>
      <c r="AO34" s="227">
        <f t="shared" si="17"/>
        <v>323.025</v>
      </c>
      <c r="AP34" s="227">
        <f t="shared" si="17"/>
        <v>56.418749999999996</v>
      </c>
      <c r="AQ34" s="205">
        <f t="shared" si="12"/>
        <v>82.80359374999999</v>
      </c>
      <c r="AR34" s="205">
        <f t="shared" si="12"/>
        <v>513.38228125</v>
      </c>
      <c r="AS34" s="205">
        <f t="shared" si="12"/>
        <v>99.91633645833333</v>
      </c>
      <c r="AT34" s="231">
        <f t="shared" si="13"/>
        <v>1075.5459614583333</v>
      </c>
    </row>
    <row r="35" spans="1:49" ht="11.25" customHeight="1">
      <c r="A35" s="8">
        <v>29</v>
      </c>
      <c r="B35" s="8">
        <v>55</v>
      </c>
      <c r="C35" s="8"/>
      <c r="D35" s="16">
        <v>8</v>
      </c>
      <c r="E35" s="17">
        <f>VLOOKUP(D35,'A13 - Tabelle'!$A$6:$F$13,6)</f>
        <v>60640.31999999999</v>
      </c>
      <c r="F35" s="17">
        <f>VLOOKUP(D35,'A13 - Tabelle'!$A$6:$G$13,7)</f>
        <v>44013.52</v>
      </c>
      <c r="G35" s="18">
        <f t="shared" si="0"/>
        <v>41493.52</v>
      </c>
      <c r="H35" s="19"/>
      <c r="I35" s="16">
        <v>5</v>
      </c>
      <c r="J35" s="17">
        <f>VLOOKUP(I35,'E13 - Tabelle'!$A$7:$L$19,11)</f>
        <v>66242.875</v>
      </c>
      <c r="K35" s="20">
        <f>VLOOKUP(I35,'E13 - Tabelle'!$A$7:$L$19,12)</f>
        <v>35970.94</v>
      </c>
      <c r="L35" s="28">
        <f t="shared" si="1"/>
        <v>-5522.5799999999945</v>
      </c>
      <c r="M35" s="32">
        <f t="shared" si="14"/>
        <v>-139593.00999999986</v>
      </c>
      <c r="N35" s="8">
        <v>29</v>
      </c>
      <c r="O35" s="8">
        <v>55</v>
      </c>
      <c r="P35" s="47"/>
      <c r="Q35" s="47"/>
      <c r="R35" s="71"/>
      <c r="S35" s="197"/>
      <c r="T35" s="204"/>
      <c r="U35" s="370">
        <f t="shared" si="8"/>
        <v>1.8128865626710455</v>
      </c>
      <c r="V35" s="371"/>
      <c r="W35" s="68">
        <v>1</v>
      </c>
      <c r="X35" s="370">
        <f t="shared" si="2"/>
        <v>5.520239583333333</v>
      </c>
      <c r="Y35" s="68"/>
      <c r="Z35" s="372"/>
      <c r="AA35" s="197"/>
      <c r="AB35" s="204"/>
      <c r="AC35" s="205">
        <f t="shared" si="15"/>
        <v>323.025</v>
      </c>
      <c r="AD35" s="205">
        <f t="shared" si="15"/>
        <v>56.418749999999996</v>
      </c>
      <c r="AE35" s="205">
        <f t="shared" si="16"/>
        <v>82.80359374999999</v>
      </c>
      <c r="AF35" s="205">
        <f t="shared" si="16"/>
        <v>513.38228125</v>
      </c>
      <c r="AG35" s="205">
        <f t="shared" si="16"/>
        <v>356.055453125</v>
      </c>
      <c r="AH35" s="206">
        <f t="shared" si="9"/>
        <v>1331.685078125</v>
      </c>
      <c r="AI35" s="206">
        <f t="shared" si="5"/>
        <v>5520.239583333333</v>
      </c>
      <c r="AJ35" s="207">
        <f t="shared" si="10"/>
        <v>6851.9246614583335</v>
      </c>
      <c r="AK35" s="208"/>
      <c r="AL35" s="221">
        <f t="shared" si="11"/>
        <v>2997.5783333333334</v>
      </c>
      <c r="AM35" s="222">
        <f t="shared" si="6"/>
        <v>3854.346328125</v>
      </c>
      <c r="AN35" s="208"/>
      <c r="AO35" s="227">
        <f t="shared" si="17"/>
        <v>323.025</v>
      </c>
      <c r="AP35" s="227">
        <f t="shared" si="17"/>
        <v>56.418749999999996</v>
      </c>
      <c r="AQ35" s="205">
        <f t="shared" si="12"/>
        <v>82.80359374999999</v>
      </c>
      <c r="AR35" s="205">
        <f t="shared" si="12"/>
        <v>513.38228125</v>
      </c>
      <c r="AS35" s="205">
        <f t="shared" si="12"/>
        <v>99.91633645833333</v>
      </c>
      <c r="AT35" s="231">
        <f t="shared" si="13"/>
        <v>1075.5459614583333</v>
      </c>
      <c r="AV35" s="241">
        <f>AO5*AJ1/12+AC5*AJ1/12</f>
        <v>646.05</v>
      </c>
      <c r="AW35">
        <f>AV35/2</f>
        <v>323.025</v>
      </c>
    </row>
    <row r="36" spans="1:46" ht="11.25" customHeight="1">
      <c r="A36" s="8">
        <v>30</v>
      </c>
      <c r="B36" s="8">
        <v>56</v>
      </c>
      <c r="C36" s="8"/>
      <c r="D36" s="16">
        <v>8</v>
      </c>
      <c r="E36" s="17">
        <f>VLOOKUP(D36,'A13 - Tabelle'!$A$6:$F$13,6)</f>
        <v>60640.31999999999</v>
      </c>
      <c r="F36" s="17">
        <f>VLOOKUP(D36,'A13 - Tabelle'!$A$6:$G$13,7)</f>
        <v>44013.52</v>
      </c>
      <c r="G36" s="18">
        <f t="shared" si="0"/>
        <v>41493.52</v>
      </c>
      <c r="H36" s="19"/>
      <c r="I36" s="16">
        <v>5</v>
      </c>
      <c r="J36" s="17">
        <f>VLOOKUP(I36,'E13 - Tabelle'!$A$7:$L$19,11)</f>
        <v>66242.875</v>
      </c>
      <c r="K36" s="20">
        <f>VLOOKUP(I36,'E13 - Tabelle'!$A$7:$L$19,12)</f>
        <v>35970.94</v>
      </c>
      <c r="L36" s="28">
        <f t="shared" si="1"/>
        <v>-5522.5799999999945</v>
      </c>
      <c r="M36" s="32">
        <f t="shared" si="14"/>
        <v>-145115.58999999985</v>
      </c>
      <c r="N36" s="8">
        <v>30</v>
      </c>
      <c r="O36" s="8">
        <v>56</v>
      </c>
      <c r="P36" s="47"/>
      <c r="Q36" s="47"/>
      <c r="R36" s="71"/>
      <c r="S36" s="197"/>
      <c r="T36" s="204"/>
      <c r="U36" s="370">
        <f t="shared" si="8"/>
        <v>1.8128865626710455</v>
      </c>
      <c r="V36" s="371"/>
      <c r="W36" s="68">
        <v>1</v>
      </c>
      <c r="X36" s="370">
        <f t="shared" si="2"/>
        <v>5.520239583333333</v>
      </c>
      <c r="Y36" s="68"/>
      <c r="Z36" s="372"/>
      <c r="AA36" s="197"/>
      <c r="AB36" s="204"/>
      <c r="AC36" s="205">
        <f t="shared" si="15"/>
        <v>323.025</v>
      </c>
      <c r="AD36" s="205">
        <f t="shared" si="15"/>
        <v>56.418749999999996</v>
      </c>
      <c r="AE36" s="205">
        <f t="shared" si="16"/>
        <v>82.80359374999999</v>
      </c>
      <c r="AF36" s="205">
        <f t="shared" si="16"/>
        <v>513.38228125</v>
      </c>
      <c r="AG36" s="205">
        <f t="shared" si="16"/>
        <v>356.055453125</v>
      </c>
      <c r="AH36" s="206">
        <f t="shared" si="9"/>
        <v>1331.685078125</v>
      </c>
      <c r="AI36" s="206">
        <f t="shared" si="5"/>
        <v>5520.239583333333</v>
      </c>
      <c r="AJ36" s="207">
        <f t="shared" si="10"/>
        <v>6851.9246614583335</v>
      </c>
      <c r="AK36" s="208"/>
      <c r="AL36" s="221">
        <f t="shared" si="11"/>
        <v>2997.5783333333334</v>
      </c>
      <c r="AM36" s="222">
        <f t="shared" si="6"/>
        <v>3854.346328125</v>
      </c>
      <c r="AN36" s="208"/>
      <c r="AO36" s="227">
        <f t="shared" si="17"/>
        <v>323.025</v>
      </c>
      <c r="AP36" s="227">
        <f t="shared" si="17"/>
        <v>56.418749999999996</v>
      </c>
      <c r="AQ36" s="205">
        <f t="shared" si="12"/>
        <v>82.80359374999999</v>
      </c>
      <c r="AR36" s="205">
        <f t="shared" si="12"/>
        <v>513.38228125</v>
      </c>
      <c r="AS36" s="205">
        <f t="shared" si="12"/>
        <v>99.91633645833333</v>
      </c>
      <c r="AT36" s="231">
        <f t="shared" si="13"/>
        <v>1075.5459614583333</v>
      </c>
    </row>
    <row r="37" spans="1:46" ht="11.25" customHeight="1">
      <c r="A37" s="8">
        <v>31</v>
      </c>
      <c r="B37" s="8">
        <v>57</v>
      </c>
      <c r="C37" s="8"/>
      <c r="D37" s="16">
        <v>8</v>
      </c>
      <c r="E37" s="17">
        <f>VLOOKUP(D37,'A13 - Tabelle'!$A$6:$F$13,6)</f>
        <v>60640.31999999999</v>
      </c>
      <c r="F37" s="17">
        <f>VLOOKUP(D37,'A13 - Tabelle'!$A$6:$G$13,7)</f>
        <v>44013.52</v>
      </c>
      <c r="G37" s="18">
        <f t="shared" si="0"/>
        <v>41493.52</v>
      </c>
      <c r="H37" s="19"/>
      <c r="I37" s="16">
        <v>5</v>
      </c>
      <c r="J37" s="17">
        <f>VLOOKUP(I37,'E13 - Tabelle'!$A$7:$L$19,11)</f>
        <v>66242.875</v>
      </c>
      <c r="K37" s="20">
        <f>VLOOKUP(I37,'E13 - Tabelle'!$A$7:$L$19,12)</f>
        <v>35970.94</v>
      </c>
      <c r="L37" s="28">
        <f t="shared" si="1"/>
        <v>-5522.5799999999945</v>
      </c>
      <c r="M37" s="32">
        <f t="shared" si="14"/>
        <v>-150638.16999999984</v>
      </c>
      <c r="N37" s="8">
        <v>31</v>
      </c>
      <c r="O37" s="8">
        <v>57</v>
      </c>
      <c r="P37" s="47"/>
      <c r="Q37" s="47"/>
      <c r="R37" s="71"/>
      <c r="S37" s="197"/>
      <c r="T37" s="204"/>
      <c r="U37" s="370">
        <f t="shared" si="8"/>
        <v>1.8128865626710455</v>
      </c>
      <c r="V37" s="371"/>
      <c r="W37" s="68">
        <v>0.9</v>
      </c>
      <c r="X37" s="370">
        <f t="shared" si="2"/>
        <v>4.968215625</v>
      </c>
      <c r="Y37" s="68"/>
      <c r="Z37" s="372"/>
      <c r="AA37" s="197"/>
      <c r="AB37" s="204"/>
      <c r="AC37" s="205">
        <f t="shared" si="15"/>
        <v>323.025</v>
      </c>
      <c r="AD37" s="205">
        <f t="shared" si="15"/>
        <v>56.418749999999996</v>
      </c>
      <c r="AE37" s="205">
        <f t="shared" si="16"/>
        <v>82.80359374999999</v>
      </c>
      <c r="AF37" s="205">
        <f t="shared" si="16"/>
        <v>513.38228125</v>
      </c>
      <c r="AG37" s="205">
        <f t="shared" si="16"/>
        <v>356.055453125</v>
      </c>
      <c r="AH37" s="206">
        <f t="shared" si="9"/>
        <v>1331.685078125</v>
      </c>
      <c r="AI37" s="206">
        <f t="shared" si="5"/>
        <v>5520.239583333333</v>
      </c>
      <c r="AJ37" s="207">
        <f t="shared" si="10"/>
        <v>6851.9246614583335</v>
      </c>
      <c r="AK37" s="208"/>
      <c r="AL37" s="221">
        <f t="shared" si="11"/>
        <v>2997.5783333333334</v>
      </c>
      <c r="AM37" s="222">
        <f t="shared" si="6"/>
        <v>3854.346328125</v>
      </c>
      <c r="AN37" s="208"/>
      <c r="AO37" s="227">
        <f t="shared" si="17"/>
        <v>323.025</v>
      </c>
      <c r="AP37" s="227">
        <f t="shared" si="17"/>
        <v>56.418749999999996</v>
      </c>
      <c r="AQ37" s="205">
        <f t="shared" si="12"/>
        <v>82.80359374999999</v>
      </c>
      <c r="AR37" s="205">
        <f t="shared" si="12"/>
        <v>513.38228125</v>
      </c>
      <c r="AS37" s="205">
        <f t="shared" si="12"/>
        <v>99.91633645833333</v>
      </c>
      <c r="AT37" s="231">
        <f t="shared" si="13"/>
        <v>1075.5459614583333</v>
      </c>
    </row>
    <row r="38" spans="1:46" ht="11.25" customHeight="1">
      <c r="A38" s="8">
        <v>32</v>
      </c>
      <c r="B38" s="8">
        <v>58</v>
      </c>
      <c r="C38" s="8"/>
      <c r="D38" s="16">
        <v>8</v>
      </c>
      <c r="E38" s="17">
        <f>VLOOKUP(D38,'A13 - Tabelle'!$A$6:$F$13,6)</f>
        <v>60640.31999999999</v>
      </c>
      <c r="F38" s="17">
        <f>VLOOKUP(D38,'A13 - Tabelle'!$A$6:$G$13,7)</f>
        <v>44013.52</v>
      </c>
      <c r="G38" s="18">
        <f t="shared" si="0"/>
        <v>41493.52</v>
      </c>
      <c r="H38" s="19"/>
      <c r="I38" s="16">
        <v>5</v>
      </c>
      <c r="J38" s="17">
        <f>VLOOKUP(I38,'E13 - Tabelle'!$A$7:$L$19,11)</f>
        <v>66242.875</v>
      </c>
      <c r="K38" s="20">
        <f>VLOOKUP(I38,'E13 - Tabelle'!$A$7:$L$19,12)</f>
        <v>35970.94</v>
      </c>
      <c r="L38" s="28">
        <f t="shared" si="1"/>
        <v>-5522.5799999999945</v>
      </c>
      <c r="M38" s="32">
        <f t="shared" si="14"/>
        <v>-156160.74999999983</v>
      </c>
      <c r="N38" s="8">
        <v>32</v>
      </c>
      <c r="O38" s="8">
        <v>58</v>
      </c>
      <c r="P38" s="47"/>
      <c r="Q38" s="47"/>
      <c r="R38" s="71"/>
      <c r="S38" s="197"/>
      <c r="T38" s="204"/>
      <c r="U38" s="370">
        <f t="shared" si="8"/>
        <v>1.8128865626710455</v>
      </c>
      <c r="V38" s="371"/>
      <c r="W38" s="68">
        <v>0.9</v>
      </c>
      <c r="X38" s="370">
        <f t="shared" si="2"/>
        <v>4.968215625</v>
      </c>
      <c r="Y38" s="68"/>
      <c r="Z38" s="372"/>
      <c r="AA38" s="197"/>
      <c r="AB38" s="204"/>
      <c r="AC38" s="205">
        <f t="shared" si="15"/>
        <v>323.025</v>
      </c>
      <c r="AD38" s="205">
        <f t="shared" si="15"/>
        <v>56.418749999999996</v>
      </c>
      <c r="AE38" s="205">
        <f t="shared" si="16"/>
        <v>82.80359374999999</v>
      </c>
      <c r="AF38" s="205">
        <f t="shared" si="16"/>
        <v>513.38228125</v>
      </c>
      <c r="AG38" s="205">
        <f t="shared" si="16"/>
        <v>356.055453125</v>
      </c>
      <c r="AH38" s="206">
        <f t="shared" si="9"/>
        <v>1331.685078125</v>
      </c>
      <c r="AI38" s="206">
        <f t="shared" si="5"/>
        <v>5520.239583333333</v>
      </c>
      <c r="AJ38" s="207">
        <f t="shared" si="10"/>
        <v>6851.9246614583335</v>
      </c>
      <c r="AK38" s="208"/>
      <c r="AL38" s="221">
        <f t="shared" si="11"/>
        <v>2997.5783333333334</v>
      </c>
      <c r="AM38" s="222">
        <f t="shared" si="6"/>
        <v>3854.346328125</v>
      </c>
      <c r="AN38" s="208"/>
      <c r="AO38" s="227">
        <f t="shared" si="17"/>
        <v>323.025</v>
      </c>
      <c r="AP38" s="227">
        <f t="shared" si="17"/>
        <v>56.418749999999996</v>
      </c>
      <c r="AQ38" s="205">
        <f t="shared" si="12"/>
        <v>82.80359374999999</v>
      </c>
      <c r="AR38" s="205">
        <f t="shared" si="12"/>
        <v>513.38228125</v>
      </c>
      <c r="AS38" s="205">
        <f t="shared" si="12"/>
        <v>99.91633645833333</v>
      </c>
      <c r="AT38" s="231">
        <f t="shared" si="13"/>
        <v>1075.5459614583333</v>
      </c>
    </row>
    <row r="39" spans="1:46" ht="11.25" customHeight="1">
      <c r="A39" s="8">
        <v>33</v>
      </c>
      <c r="B39" s="8">
        <v>59</v>
      </c>
      <c r="C39" s="8"/>
      <c r="D39" s="16">
        <v>8</v>
      </c>
      <c r="E39" s="17">
        <f>VLOOKUP(D39,'A13 - Tabelle'!$A$6:$F$13,6)</f>
        <v>60640.31999999999</v>
      </c>
      <c r="F39" s="17">
        <f>VLOOKUP(D39,'A13 - Tabelle'!$A$6:$G$13,7)</f>
        <v>44013.52</v>
      </c>
      <c r="G39" s="18">
        <f t="shared" si="0"/>
        <v>41493.52</v>
      </c>
      <c r="H39" s="19"/>
      <c r="I39" s="16">
        <v>5</v>
      </c>
      <c r="J39" s="17">
        <f>VLOOKUP(I39,'E13 - Tabelle'!$A$7:$L$19,11)</f>
        <v>66242.875</v>
      </c>
      <c r="K39" s="20">
        <f>VLOOKUP(I39,'E13 - Tabelle'!$A$7:$L$19,12)</f>
        <v>35970.94</v>
      </c>
      <c r="L39" s="28">
        <f t="shared" si="1"/>
        <v>-5522.5799999999945</v>
      </c>
      <c r="M39" s="32">
        <f t="shared" si="14"/>
        <v>-161683.3299999998</v>
      </c>
      <c r="N39" s="8">
        <v>33</v>
      </c>
      <c r="O39" s="8">
        <v>59</v>
      </c>
      <c r="P39" s="47"/>
      <c r="Q39" s="47"/>
      <c r="R39" s="71"/>
      <c r="S39" s="197"/>
      <c r="T39" s="204"/>
      <c r="U39" s="370">
        <f t="shared" si="8"/>
        <v>1.8128865626710455</v>
      </c>
      <c r="V39" s="371"/>
      <c r="W39" s="68">
        <v>0.9</v>
      </c>
      <c r="X39" s="370">
        <f t="shared" si="2"/>
        <v>4.968215625</v>
      </c>
      <c r="Y39" s="68"/>
      <c r="Z39" s="372"/>
      <c r="AA39" s="197"/>
      <c r="AB39" s="204"/>
      <c r="AC39" s="205">
        <f t="shared" si="15"/>
        <v>323.025</v>
      </c>
      <c r="AD39" s="205">
        <f t="shared" si="15"/>
        <v>56.418749999999996</v>
      </c>
      <c r="AE39" s="205">
        <f t="shared" si="16"/>
        <v>82.80359374999999</v>
      </c>
      <c r="AF39" s="205">
        <f t="shared" si="16"/>
        <v>513.38228125</v>
      </c>
      <c r="AG39" s="205">
        <f t="shared" si="16"/>
        <v>356.055453125</v>
      </c>
      <c r="AH39" s="206">
        <f t="shared" si="9"/>
        <v>1331.685078125</v>
      </c>
      <c r="AI39" s="206">
        <f t="shared" si="5"/>
        <v>5520.239583333333</v>
      </c>
      <c r="AJ39" s="207">
        <f t="shared" si="10"/>
        <v>6851.9246614583335</v>
      </c>
      <c r="AK39" s="208"/>
      <c r="AL39" s="221">
        <f t="shared" si="11"/>
        <v>2997.5783333333334</v>
      </c>
      <c r="AM39" s="222">
        <f t="shared" si="6"/>
        <v>3854.346328125</v>
      </c>
      <c r="AN39" s="208"/>
      <c r="AO39" s="227">
        <f t="shared" si="17"/>
        <v>323.025</v>
      </c>
      <c r="AP39" s="227">
        <f t="shared" si="17"/>
        <v>56.418749999999996</v>
      </c>
      <c r="AQ39" s="205">
        <f t="shared" si="12"/>
        <v>82.80359374999999</v>
      </c>
      <c r="AR39" s="205">
        <f t="shared" si="12"/>
        <v>513.38228125</v>
      </c>
      <c r="AS39" s="205">
        <f t="shared" si="12"/>
        <v>99.91633645833333</v>
      </c>
      <c r="AT39" s="231">
        <f t="shared" si="13"/>
        <v>1075.5459614583333</v>
      </c>
    </row>
    <row r="40" spans="1:46" ht="11.25" customHeight="1">
      <c r="A40" s="8">
        <v>34</v>
      </c>
      <c r="B40" s="8">
        <v>60</v>
      </c>
      <c r="C40" s="8"/>
      <c r="D40" s="16">
        <v>8</v>
      </c>
      <c r="E40" s="17">
        <f>VLOOKUP(D40,'A13 - Tabelle'!$A$6:$F$13,6)</f>
        <v>60640.31999999999</v>
      </c>
      <c r="F40" s="17">
        <f>VLOOKUP(D40,'A13 - Tabelle'!$A$6:$G$13,7)</f>
        <v>44013.52</v>
      </c>
      <c r="G40" s="18">
        <f t="shared" si="0"/>
        <v>41493.52</v>
      </c>
      <c r="H40" s="19"/>
      <c r="I40" s="16">
        <v>5</v>
      </c>
      <c r="J40" s="17">
        <f>VLOOKUP(I40,'E13 - Tabelle'!$A$7:$L$19,11)</f>
        <v>66242.875</v>
      </c>
      <c r="K40" s="20">
        <f>VLOOKUP(I40,'E13 - Tabelle'!$A$7:$L$19,12)</f>
        <v>35970.94</v>
      </c>
      <c r="L40" s="28">
        <f t="shared" si="1"/>
        <v>-5522.5799999999945</v>
      </c>
      <c r="M40" s="32">
        <f t="shared" si="14"/>
        <v>-167205.9099999998</v>
      </c>
      <c r="N40" s="8">
        <v>34</v>
      </c>
      <c r="O40" s="8">
        <v>60</v>
      </c>
      <c r="P40" s="47"/>
      <c r="Q40" s="47"/>
      <c r="R40" s="71"/>
      <c r="S40" s="197"/>
      <c r="T40" s="204"/>
      <c r="U40" s="370">
        <f t="shared" si="8"/>
        <v>1.8128865626710455</v>
      </c>
      <c r="V40" s="371"/>
      <c r="W40" s="68">
        <v>0.9</v>
      </c>
      <c r="X40" s="370">
        <f t="shared" si="2"/>
        <v>4.968215625</v>
      </c>
      <c r="Y40" s="68"/>
      <c r="Z40" s="372"/>
      <c r="AA40" s="197"/>
      <c r="AB40" s="204"/>
      <c r="AC40" s="205">
        <f t="shared" si="15"/>
        <v>323.025</v>
      </c>
      <c r="AD40" s="205">
        <f t="shared" si="15"/>
        <v>56.418749999999996</v>
      </c>
      <c r="AE40" s="205">
        <f t="shared" si="16"/>
        <v>82.80359374999999</v>
      </c>
      <c r="AF40" s="205">
        <f t="shared" si="16"/>
        <v>513.38228125</v>
      </c>
      <c r="AG40" s="205">
        <f t="shared" si="16"/>
        <v>356.055453125</v>
      </c>
      <c r="AH40" s="206">
        <f t="shared" si="9"/>
        <v>1331.685078125</v>
      </c>
      <c r="AI40" s="206">
        <f t="shared" si="5"/>
        <v>5520.239583333333</v>
      </c>
      <c r="AJ40" s="207">
        <f t="shared" si="10"/>
        <v>6851.9246614583335</v>
      </c>
      <c r="AK40" s="208"/>
      <c r="AL40" s="221">
        <f t="shared" si="11"/>
        <v>2997.5783333333334</v>
      </c>
      <c r="AM40" s="222">
        <f t="shared" si="6"/>
        <v>3854.346328125</v>
      </c>
      <c r="AN40" s="208"/>
      <c r="AO40" s="227">
        <f t="shared" si="17"/>
        <v>323.025</v>
      </c>
      <c r="AP40" s="227">
        <f t="shared" si="17"/>
        <v>56.418749999999996</v>
      </c>
      <c r="AQ40" s="205">
        <f t="shared" si="12"/>
        <v>82.80359374999999</v>
      </c>
      <c r="AR40" s="205">
        <f t="shared" si="12"/>
        <v>513.38228125</v>
      </c>
      <c r="AS40" s="205">
        <f t="shared" si="12"/>
        <v>99.91633645833333</v>
      </c>
      <c r="AT40" s="231">
        <f t="shared" si="13"/>
        <v>1075.5459614583333</v>
      </c>
    </row>
    <row r="41" spans="1:46" ht="11.25" customHeight="1">
      <c r="A41" s="8">
        <v>35</v>
      </c>
      <c r="B41" s="8">
        <v>61</v>
      </c>
      <c r="C41" s="8"/>
      <c r="D41" s="16">
        <v>8</v>
      </c>
      <c r="E41" s="17">
        <f>VLOOKUP(D41,'A13 - Tabelle'!$A$6:$F$13,6)</f>
        <v>60640.31999999999</v>
      </c>
      <c r="F41" s="17">
        <f>VLOOKUP(D41,'A13 - Tabelle'!$A$6:$G$13,7)</f>
        <v>44013.52</v>
      </c>
      <c r="G41" s="18">
        <f t="shared" si="0"/>
        <v>41493.52</v>
      </c>
      <c r="H41" s="19"/>
      <c r="I41" s="16">
        <v>5</v>
      </c>
      <c r="J41" s="17">
        <f>VLOOKUP(I41,'E13 - Tabelle'!$A$7:$L$19,11)</f>
        <v>66242.875</v>
      </c>
      <c r="K41" s="20">
        <f>VLOOKUP(I41,'E13 - Tabelle'!$A$7:$L$19,12)</f>
        <v>35970.94</v>
      </c>
      <c r="L41" s="28">
        <f t="shared" si="1"/>
        <v>-5522.5799999999945</v>
      </c>
      <c r="M41" s="32">
        <f t="shared" si="14"/>
        <v>-172728.4899999998</v>
      </c>
      <c r="N41" s="8">
        <v>35</v>
      </c>
      <c r="O41" s="8">
        <v>61</v>
      </c>
      <c r="P41" s="47"/>
      <c r="Q41" s="47"/>
      <c r="R41" s="71"/>
      <c r="S41" s="197"/>
      <c r="T41" s="204"/>
      <c r="U41" s="370">
        <f t="shared" si="8"/>
        <v>1.8128865626710455</v>
      </c>
      <c r="V41" s="371"/>
      <c r="W41" s="68">
        <v>0.9</v>
      </c>
      <c r="X41" s="370">
        <f t="shared" si="2"/>
        <v>4.968215625</v>
      </c>
      <c r="Y41" s="68"/>
      <c r="Z41" s="372"/>
      <c r="AA41" s="197"/>
      <c r="AB41" s="204"/>
      <c r="AC41" s="205">
        <f t="shared" si="15"/>
        <v>323.025</v>
      </c>
      <c r="AD41" s="205">
        <f t="shared" si="15"/>
        <v>56.418749999999996</v>
      </c>
      <c r="AE41" s="205">
        <f t="shared" si="16"/>
        <v>82.80359374999999</v>
      </c>
      <c r="AF41" s="205">
        <f t="shared" si="16"/>
        <v>513.38228125</v>
      </c>
      <c r="AG41" s="205">
        <f t="shared" si="16"/>
        <v>356.055453125</v>
      </c>
      <c r="AH41" s="206">
        <f t="shared" si="9"/>
        <v>1331.685078125</v>
      </c>
      <c r="AI41" s="206">
        <f t="shared" si="5"/>
        <v>5520.239583333333</v>
      </c>
      <c r="AJ41" s="207">
        <f t="shared" si="10"/>
        <v>6851.9246614583335</v>
      </c>
      <c r="AK41" s="208"/>
      <c r="AL41" s="221">
        <f t="shared" si="11"/>
        <v>2997.5783333333334</v>
      </c>
      <c r="AM41" s="222">
        <f t="shared" si="6"/>
        <v>3854.346328125</v>
      </c>
      <c r="AN41" s="208"/>
      <c r="AO41" s="227">
        <f t="shared" si="17"/>
        <v>323.025</v>
      </c>
      <c r="AP41" s="227">
        <f t="shared" si="17"/>
        <v>56.418749999999996</v>
      </c>
      <c r="AQ41" s="205">
        <f t="shared" si="12"/>
        <v>82.80359374999999</v>
      </c>
      <c r="AR41" s="205">
        <f t="shared" si="12"/>
        <v>513.38228125</v>
      </c>
      <c r="AS41" s="205">
        <f t="shared" si="12"/>
        <v>99.91633645833333</v>
      </c>
      <c r="AT41" s="231">
        <f t="shared" si="13"/>
        <v>1075.5459614583333</v>
      </c>
    </row>
    <row r="42" spans="1:46" ht="11.25" customHeight="1">
      <c r="A42" s="8">
        <v>36</v>
      </c>
      <c r="B42" s="8">
        <v>62</v>
      </c>
      <c r="C42" s="8"/>
      <c r="D42" s="16">
        <v>8</v>
      </c>
      <c r="E42" s="17">
        <f>VLOOKUP(D42,'A13 - Tabelle'!$A$6:$F$13,6)</f>
        <v>60640.31999999999</v>
      </c>
      <c r="F42" s="17">
        <f>VLOOKUP(D42,'A13 - Tabelle'!$A$6:$G$13,7)</f>
        <v>44013.52</v>
      </c>
      <c r="G42" s="18">
        <f t="shared" si="0"/>
        <v>41493.52</v>
      </c>
      <c r="H42" s="19"/>
      <c r="I42" s="16">
        <v>5</v>
      </c>
      <c r="J42" s="17">
        <f>VLOOKUP(I42,'E13 - Tabelle'!$A$7:$L$19,11)</f>
        <v>66242.875</v>
      </c>
      <c r="K42" s="20">
        <f>VLOOKUP(I42,'E13 - Tabelle'!$A$7:$L$19,12)</f>
        <v>35970.94</v>
      </c>
      <c r="L42" s="28">
        <f t="shared" si="1"/>
        <v>-5522.5799999999945</v>
      </c>
      <c r="M42" s="32">
        <f t="shared" si="14"/>
        <v>-178251.06999999977</v>
      </c>
      <c r="N42" s="8">
        <v>36</v>
      </c>
      <c r="O42" s="8">
        <v>62</v>
      </c>
      <c r="P42" s="47"/>
      <c r="Q42" s="47"/>
      <c r="R42" s="71"/>
      <c r="S42" s="197"/>
      <c r="T42" s="204"/>
      <c r="U42" s="370">
        <f t="shared" si="8"/>
        <v>1.8128865626710455</v>
      </c>
      <c r="V42" s="371"/>
      <c r="W42" s="68">
        <v>0.8</v>
      </c>
      <c r="X42" s="370">
        <f t="shared" si="2"/>
        <v>4.416191666666666</v>
      </c>
      <c r="Y42" s="68"/>
      <c r="Z42" s="372"/>
      <c r="AA42" s="197"/>
      <c r="AB42" s="204"/>
      <c r="AC42" s="205">
        <f t="shared" si="15"/>
        <v>323.025</v>
      </c>
      <c r="AD42" s="205">
        <f t="shared" si="15"/>
        <v>56.418749999999996</v>
      </c>
      <c r="AE42" s="205">
        <f t="shared" si="16"/>
        <v>82.80359374999999</v>
      </c>
      <c r="AF42" s="205">
        <f t="shared" si="16"/>
        <v>513.38228125</v>
      </c>
      <c r="AG42" s="205">
        <f t="shared" si="16"/>
        <v>356.055453125</v>
      </c>
      <c r="AH42" s="206">
        <f t="shared" si="9"/>
        <v>1331.685078125</v>
      </c>
      <c r="AI42" s="206">
        <f t="shared" si="5"/>
        <v>5520.239583333333</v>
      </c>
      <c r="AJ42" s="207">
        <f t="shared" si="10"/>
        <v>6851.9246614583335</v>
      </c>
      <c r="AK42" s="208"/>
      <c r="AL42" s="221">
        <f t="shared" si="11"/>
        <v>2997.5783333333334</v>
      </c>
      <c r="AM42" s="222">
        <f t="shared" si="6"/>
        <v>3854.346328125</v>
      </c>
      <c r="AN42" s="208"/>
      <c r="AO42" s="227">
        <f t="shared" si="17"/>
        <v>323.025</v>
      </c>
      <c r="AP42" s="227">
        <f t="shared" si="17"/>
        <v>56.418749999999996</v>
      </c>
      <c r="AQ42" s="205">
        <f t="shared" si="12"/>
        <v>82.80359374999999</v>
      </c>
      <c r="AR42" s="205">
        <f t="shared" si="12"/>
        <v>513.38228125</v>
      </c>
      <c r="AS42" s="205">
        <f t="shared" si="12"/>
        <v>99.91633645833333</v>
      </c>
      <c r="AT42" s="231">
        <f t="shared" si="13"/>
        <v>1075.5459614583333</v>
      </c>
    </row>
    <row r="43" spans="1:46" ht="11.25" customHeight="1">
      <c r="A43" s="8">
        <v>37</v>
      </c>
      <c r="B43" s="8">
        <v>63</v>
      </c>
      <c r="C43" s="8"/>
      <c r="D43" s="16">
        <v>8</v>
      </c>
      <c r="E43" s="17">
        <f>VLOOKUP(D43,'A13 - Tabelle'!$A$6:$F$13,6)</f>
        <v>60640.31999999999</v>
      </c>
      <c r="F43" s="17">
        <f>VLOOKUP(D43,'A13 - Tabelle'!$A$6:$G$13,7)</f>
        <v>44013.52</v>
      </c>
      <c r="G43" s="18">
        <f t="shared" si="0"/>
        <v>41493.52</v>
      </c>
      <c r="H43" s="19"/>
      <c r="I43" s="16">
        <v>5</v>
      </c>
      <c r="J43" s="17">
        <f>VLOOKUP(I43,'E13 - Tabelle'!$A$7:$L$19,11)</f>
        <v>66242.875</v>
      </c>
      <c r="K43" s="20">
        <f>VLOOKUP(I43,'E13 - Tabelle'!$A$7:$L$19,12)</f>
        <v>35970.94</v>
      </c>
      <c r="L43" s="28">
        <f t="shared" si="1"/>
        <v>-5522.5799999999945</v>
      </c>
      <c r="M43" s="32">
        <f t="shared" si="14"/>
        <v>-183773.64999999976</v>
      </c>
      <c r="N43" s="8">
        <v>37</v>
      </c>
      <c r="O43" s="8">
        <v>63</v>
      </c>
      <c r="P43" s="47"/>
      <c r="Q43" s="47"/>
      <c r="R43" s="71"/>
      <c r="S43" s="197"/>
      <c r="T43" s="204"/>
      <c r="U43" s="370">
        <f t="shared" si="8"/>
        <v>1.8128865626710455</v>
      </c>
      <c r="V43" s="371"/>
      <c r="W43" s="68">
        <v>0.8</v>
      </c>
      <c r="X43" s="370">
        <f t="shared" si="2"/>
        <v>4.416191666666666</v>
      </c>
      <c r="Y43" s="68"/>
      <c r="Z43" s="372"/>
      <c r="AA43" s="197"/>
      <c r="AB43" s="204"/>
      <c r="AC43" s="205">
        <f t="shared" si="15"/>
        <v>323.025</v>
      </c>
      <c r="AD43" s="205">
        <f t="shared" si="15"/>
        <v>56.418749999999996</v>
      </c>
      <c r="AE43" s="205">
        <f t="shared" si="16"/>
        <v>82.80359374999999</v>
      </c>
      <c r="AF43" s="205">
        <f t="shared" si="16"/>
        <v>513.38228125</v>
      </c>
      <c r="AG43" s="205">
        <f t="shared" si="16"/>
        <v>356.055453125</v>
      </c>
      <c r="AH43" s="206">
        <f t="shared" si="9"/>
        <v>1331.685078125</v>
      </c>
      <c r="AI43" s="206">
        <f t="shared" si="5"/>
        <v>5520.239583333333</v>
      </c>
      <c r="AJ43" s="207">
        <f t="shared" si="10"/>
        <v>6851.9246614583335</v>
      </c>
      <c r="AK43" s="208"/>
      <c r="AL43" s="221">
        <f t="shared" si="11"/>
        <v>2997.5783333333334</v>
      </c>
      <c r="AM43" s="222">
        <f t="shared" si="6"/>
        <v>3854.346328125</v>
      </c>
      <c r="AN43" s="208"/>
      <c r="AO43" s="227">
        <f t="shared" si="17"/>
        <v>323.025</v>
      </c>
      <c r="AP43" s="227">
        <f t="shared" si="17"/>
        <v>56.418749999999996</v>
      </c>
      <c r="AQ43" s="205">
        <f t="shared" si="12"/>
        <v>82.80359374999999</v>
      </c>
      <c r="AR43" s="205">
        <f t="shared" si="12"/>
        <v>513.38228125</v>
      </c>
      <c r="AS43" s="205">
        <f t="shared" si="12"/>
        <v>99.91633645833333</v>
      </c>
      <c r="AT43" s="231">
        <f t="shared" si="13"/>
        <v>1075.5459614583333</v>
      </c>
    </row>
    <row r="44" spans="1:46" ht="11.25" customHeight="1">
      <c r="A44" s="8">
        <v>38</v>
      </c>
      <c r="B44" s="8">
        <v>64</v>
      </c>
      <c r="C44" s="8"/>
      <c r="D44" s="16">
        <v>8</v>
      </c>
      <c r="E44" s="17">
        <f>VLOOKUP(D44,'A13 - Tabelle'!$A$6:$F$13,6)</f>
        <v>60640.31999999999</v>
      </c>
      <c r="F44" s="17">
        <f>VLOOKUP(D44,'A13 - Tabelle'!$A$6:$G$13,7)</f>
        <v>44013.52</v>
      </c>
      <c r="G44" s="18">
        <f t="shared" si="0"/>
        <v>41493.52</v>
      </c>
      <c r="H44" s="19"/>
      <c r="I44" s="16">
        <v>5</v>
      </c>
      <c r="J44" s="17">
        <f>VLOOKUP(I44,'E13 - Tabelle'!$A$7:$L$19,11)</f>
        <v>66242.875</v>
      </c>
      <c r="K44" s="20">
        <f>VLOOKUP(I44,'E13 - Tabelle'!$A$7:$L$19,12)</f>
        <v>35970.94</v>
      </c>
      <c r="L44" s="28">
        <f t="shared" si="1"/>
        <v>-5522.5799999999945</v>
      </c>
      <c r="M44" s="32">
        <f t="shared" si="14"/>
        <v>-189296.22999999975</v>
      </c>
      <c r="N44" s="8">
        <v>38</v>
      </c>
      <c r="O44" s="8">
        <v>64</v>
      </c>
      <c r="P44" s="47"/>
      <c r="Q44" s="47"/>
      <c r="R44" s="71"/>
      <c r="S44" s="197"/>
      <c r="T44" s="204"/>
      <c r="U44" s="370">
        <f t="shared" si="8"/>
        <v>1.8128865626710455</v>
      </c>
      <c r="V44" s="371"/>
      <c r="W44" s="68">
        <v>0.8</v>
      </c>
      <c r="X44" s="370">
        <f t="shared" si="2"/>
        <v>4.416191666666666</v>
      </c>
      <c r="Y44" s="68"/>
      <c r="Z44" s="372"/>
      <c r="AA44" s="197"/>
      <c r="AB44" s="204"/>
      <c r="AC44" s="205">
        <f t="shared" si="15"/>
        <v>323.025</v>
      </c>
      <c r="AD44" s="205">
        <f t="shared" si="15"/>
        <v>56.418749999999996</v>
      </c>
      <c r="AE44" s="205">
        <f t="shared" si="16"/>
        <v>82.80359374999999</v>
      </c>
      <c r="AF44" s="205">
        <f t="shared" si="16"/>
        <v>513.38228125</v>
      </c>
      <c r="AG44" s="205">
        <f t="shared" si="16"/>
        <v>356.055453125</v>
      </c>
      <c r="AH44" s="206">
        <f t="shared" si="9"/>
        <v>1331.685078125</v>
      </c>
      <c r="AI44" s="206">
        <f t="shared" si="5"/>
        <v>5520.239583333333</v>
      </c>
      <c r="AJ44" s="207">
        <f t="shared" si="10"/>
        <v>6851.9246614583335</v>
      </c>
      <c r="AK44" s="208"/>
      <c r="AL44" s="221">
        <f t="shared" si="11"/>
        <v>2997.5783333333334</v>
      </c>
      <c r="AM44" s="222">
        <f t="shared" si="6"/>
        <v>3854.346328125</v>
      </c>
      <c r="AN44" s="208"/>
      <c r="AO44" s="227">
        <f t="shared" si="17"/>
        <v>323.025</v>
      </c>
      <c r="AP44" s="227">
        <f t="shared" si="17"/>
        <v>56.418749999999996</v>
      </c>
      <c r="AQ44" s="205">
        <f t="shared" si="12"/>
        <v>82.80359374999999</v>
      </c>
      <c r="AR44" s="205">
        <f t="shared" si="12"/>
        <v>513.38228125</v>
      </c>
      <c r="AS44" s="205">
        <f t="shared" si="12"/>
        <v>99.91633645833333</v>
      </c>
      <c r="AT44" s="231">
        <f t="shared" si="13"/>
        <v>1075.5459614583333</v>
      </c>
    </row>
    <row r="45" spans="1:46" ht="11.25" customHeight="1">
      <c r="A45" s="8">
        <v>39</v>
      </c>
      <c r="B45" s="8">
        <v>65</v>
      </c>
      <c r="C45" s="8"/>
      <c r="D45" s="16">
        <v>8</v>
      </c>
      <c r="E45" s="17">
        <f>VLOOKUP(D45,'A13 - Tabelle'!$A$6:$F$13,6)</f>
        <v>60640.31999999999</v>
      </c>
      <c r="F45" s="17">
        <f>VLOOKUP(D45,'A13 - Tabelle'!$A$6:$G$13,7)</f>
        <v>44013.52</v>
      </c>
      <c r="G45" s="18">
        <f t="shared" si="0"/>
        <v>41493.52</v>
      </c>
      <c r="H45" s="19"/>
      <c r="I45" s="16">
        <v>5</v>
      </c>
      <c r="J45" s="17">
        <f>VLOOKUP(I45,'E13 - Tabelle'!$A$7:$L$19,11)</f>
        <v>66242.875</v>
      </c>
      <c r="K45" s="20">
        <f>VLOOKUP(I45,'E13 - Tabelle'!$A$7:$L$19,12)</f>
        <v>35970.94</v>
      </c>
      <c r="L45" s="28">
        <f t="shared" si="1"/>
        <v>-5522.5799999999945</v>
      </c>
      <c r="M45" s="32">
        <f t="shared" si="14"/>
        <v>-194818.80999999974</v>
      </c>
      <c r="N45" s="8">
        <v>39</v>
      </c>
      <c r="O45" s="8">
        <v>65</v>
      </c>
      <c r="P45" s="20" t="s">
        <v>143</v>
      </c>
      <c r="Q45" s="47"/>
      <c r="R45" s="71"/>
      <c r="S45" s="197"/>
      <c r="T45" s="204"/>
      <c r="U45" s="370">
        <f t="shared" si="8"/>
        <v>1.8128865626710455</v>
      </c>
      <c r="V45" s="371"/>
      <c r="W45" s="68">
        <v>0.8</v>
      </c>
      <c r="X45" s="370">
        <f t="shared" si="2"/>
        <v>4.416191666666666</v>
      </c>
      <c r="Y45" s="68"/>
      <c r="Z45" s="372"/>
      <c r="AA45" s="197"/>
      <c r="AB45" s="204"/>
      <c r="AC45" s="205">
        <f t="shared" si="15"/>
        <v>323.025</v>
      </c>
      <c r="AD45" s="205">
        <f t="shared" si="15"/>
        <v>56.418749999999996</v>
      </c>
      <c r="AE45" s="205">
        <f t="shared" si="16"/>
        <v>82.80359374999999</v>
      </c>
      <c r="AF45" s="205">
        <f t="shared" si="16"/>
        <v>513.38228125</v>
      </c>
      <c r="AG45" s="205">
        <f t="shared" si="16"/>
        <v>356.055453125</v>
      </c>
      <c r="AH45" s="206">
        <f t="shared" si="9"/>
        <v>1331.685078125</v>
      </c>
      <c r="AI45" s="206">
        <f t="shared" si="5"/>
        <v>5520.239583333333</v>
      </c>
      <c r="AJ45" s="207">
        <f t="shared" si="10"/>
        <v>6851.9246614583335</v>
      </c>
      <c r="AK45" s="208"/>
      <c r="AL45" s="221">
        <f t="shared" si="11"/>
        <v>2997.5783333333334</v>
      </c>
      <c r="AM45" s="222">
        <f t="shared" si="6"/>
        <v>3854.346328125</v>
      </c>
      <c r="AN45" s="208"/>
      <c r="AO45" s="227">
        <f t="shared" si="17"/>
        <v>323.025</v>
      </c>
      <c r="AP45" s="227">
        <f t="shared" si="17"/>
        <v>56.418749999999996</v>
      </c>
      <c r="AQ45" s="205">
        <f t="shared" si="12"/>
        <v>82.80359374999999</v>
      </c>
      <c r="AR45" s="205">
        <f t="shared" si="12"/>
        <v>513.38228125</v>
      </c>
      <c r="AS45" s="205">
        <f t="shared" si="12"/>
        <v>99.91633645833333</v>
      </c>
      <c r="AT45" s="231">
        <f t="shared" si="13"/>
        <v>1075.5459614583333</v>
      </c>
    </row>
    <row r="46" spans="1:46" ht="11.25" customHeight="1">
      <c r="A46" s="8">
        <v>40</v>
      </c>
      <c r="B46" s="216">
        <v>66</v>
      </c>
      <c r="C46" s="8"/>
      <c r="D46" s="21">
        <v>8</v>
      </c>
      <c r="E46" s="17">
        <f>VLOOKUP(D46,'A13 - Tabelle'!$A$6:$F$13,6)</f>
        <v>60640.31999999999</v>
      </c>
      <c r="F46" s="17">
        <f>VLOOKUP(D46,'A13 - Tabelle'!$A$6:$G$13,7)</f>
        <v>44013.52</v>
      </c>
      <c r="G46" s="18">
        <f t="shared" si="0"/>
        <v>41493.52</v>
      </c>
      <c r="H46" s="19"/>
      <c r="I46" s="16">
        <v>5</v>
      </c>
      <c r="J46" s="17">
        <f>VLOOKUP(I46,'E13 - Tabelle'!$A$7:$L$19,11)</f>
        <v>66242.875</v>
      </c>
      <c r="K46" s="20">
        <f>VLOOKUP(I46,'E13 - Tabelle'!$A$7:$L$19,12)</f>
        <v>35970.94</v>
      </c>
      <c r="L46" s="28">
        <f t="shared" si="1"/>
        <v>-5522.5799999999945</v>
      </c>
      <c r="M46" s="32">
        <f t="shared" si="14"/>
        <v>-200341.38999999972</v>
      </c>
      <c r="N46" s="8">
        <v>40</v>
      </c>
      <c r="O46" s="216">
        <v>66</v>
      </c>
      <c r="P46" s="20" t="s">
        <v>144</v>
      </c>
      <c r="Q46" s="47"/>
      <c r="R46" s="71"/>
      <c r="S46" s="197"/>
      <c r="T46" s="204"/>
      <c r="U46" s="370">
        <f t="shared" si="8"/>
        <v>1.8128865626710455</v>
      </c>
      <c r="V46" s="371"/>
      <c r="W46" s="68">
        <v>0.8</v>
      </c>
      <c r="X46" s="370">
        <f t="shared" si="2"/>
        <v>4.416191666666666</v>
      </c>
      <c r="Y46" s="68"/>
      <c r="Z46" s="372"/>
      <c r="AA46" s="197"/>
      <c r="AB46" s="209"/>
      <c r="AC46" s="205">
        <f t="shared" si="15"/>
        <v>323.025</v>
      </c>
      <c r="AD46" s="205">
        <f t="shared" si="15"/>
        <v>56.418749999999996</v>
      </c>
      <c r="AE46" s="205">
        <f t="shared" si="16"/>
        <v>82.80359374999999</v>
      </c>
      <c r="AF46" s="205">
        <f t="shared" si="16"/>
        <v>513.38228125</v>
      </c>
      <c r="AG46" s="205">
        <f t="shared" si="16"/>
        <v>356.055453125</v>
      </c>
      <c r="AH46" s="206">
        <f t="shared" si="9"/>
        <v>1331.685078125</v>
      </c>
      <c r="AI46" s="206">
        <f t="shared" si="5"/>
        <v>5520.239583333333</v>
      </c>
      <c r="AJ46" s="207">
        <f t="shared" si="10"/>
        <v>6851.9246614583335</v>
      </c>
      <c r="AK46" s="208"/>
      <c r="AL46" s="221">
        <f t="shared" si="11"/>
        <v>2997.5783333333334</v>
      </c>
      <c r="AM46" s="222">
        <f t="shared" si="6"/>
        <v>3854.346328125</v>
      </c>
      <c r="AN46" s="208"/>
      <c r="AO46" s="227">
        <f t="shared" si="17"/>
        <v>323.025</v>
      </c>
      <c r="AP46" s="227">
        <f t="shared" si="17"/>
        <v>56.418749999999996</v>
      </c>
      <c r="AQ46" s="205">
        <f t="shared" si="12"/>
        <v>82.80359374999999</v>
      </c>
      <c r="AR46" s="205">
        <f t="shared" si="12"/>
        <v>513.38228125</v>
      </c>
      <c r="AS46" s="205">
        <f t="shared" si="12"/>
        <v>99.91633645833333</v>
      </c>
      <c r="AT46" s="231">
        <f t="shared" si="13"/>
        <v>1075.5459614583333</v>
      </c>
    </row>
    <row r="47" spans="1:46" s="114" customFormat="1" ht="15.75" thickBot="1">
      <c r="A47" s="108"/>
      <c r="B47" s="108"/>
      <c r="C47" s="108"/>
      <c r="D47" s="105" t="s">
        <v>7</v>
      </c>
      <c r="E47" s="109">
        <f>AVERAGE(E7:E46)</f>
        <v>57409.91100000002</v>
      </c>
      <c r="F47" s="109">
        <f>AVERAGE(F7:F46)</f>
        <v>42192.22325000001</v>
      </c>
      <c r="G47" s="99">
        <f>AVERAGE(G7:G46)</f>
        <v>39672.22325000001</v>
      </c>
      <c r="H47" s="110"/>
      <c r="I47" s="105" t="s">
        <v>7</v>
      </c>
      <c r="J47" s="109">
        <f>AVERAGE(J7:J46)</f>
        <v>63296.296875</v>
      </c>
      <c r="K47" s="106">
        <f>AVERAGE(K7:K46)</f>
        <v>34663.688499999975</v>
      </c>
      <c r="L47" s="111">
        <f>AVERAGE(L7:L46)</f>
        <v>-5008.534749999993</v>
      </c>
      <c r="M47" s="112"/>
      <c r="N47" s="404">
        <f>L47*40</f>
        <v>-200341.38999999972</v>
      </c>
      <c r="O47" s="405"/>
      <c r="P47" s="405"/>
      <c r="Q47" s="113"/>
      <c r="R47" s="115"/>
      <c r="S47" s="229"/>
      <c r="T47" s="210" t="s">
        <v>134</v>
      </c>
      <c r="U47" s="373">
        <f>SUM(U7:U46)</f>
        <v>69.28987068965519</v>
      </c>
      <c r="V47" s="374">
        <f>U47*V5</f>
        <v>2219.3545581896556</v>
      </c>
      <c r="W47" s="375"/>
      <c r="X47" s="373">
        <f>SUM(X7:X46)</f>
        <v>275.0677052083335</v>
      </c>
      <c r="Y47" s="376">
        <f>X47*Y5</f>
        <v>1100.270820833334</v>
      </c>
      <c r="Z47" s="377">
        <f>V47+Y47</f>
        <v>3319.6253790229894</v>
      </c>
      <c r="AA47" s="229"/>
      <c r="AB47" s="210" t="s">
        <v>7</v>
      </c>
      <c r="AC47" s="211">
        <f aca="true" t="shared" si="18" ref="AC47:AJ47">AVERAGE(AC7:AC46)</f>
        <v>321.2751671874998</v>
      </c>
      <c r="AD47" s="211">
        <f t="shared" si="18"/>
        <v>56.11312851562501</v>
      </c>
      <c r="AE47" s="211">
        <f t="shared" si="18"/>
        <v>79.12037109374994</v>
      </c>
      <c r="AF47" s="211">
        <f t="shared" si="18"/>
        <v>490.5463007812502</v>
      </c>
      <c r="AG47" s="211">
        <f t="shared" si="18"/>
        <v>340.21759570312497</v>
      </c>
      <c r="AH47" s="212">
        <f t="shared" si="18"/>
        <v>1287.272563281251</v>
      </c>
      <c r="AI47" s="212">
        <f t="shared" si="18"/>
        <v>5274.691406250002</v>
      </c>
      <c r="AJ47" s="214">
        <f t="shared" si="18"/>
        <v>6561.963969531248</v>
      </c>
      <c r="AK47" s="208"/>
      <c r="AL47" s="223">
        <f>AVERAGE(AL7:AL46)</f>
        <v>2888.6407083333347</v>
      </c>
      <c r="AM47" s="214">
        <f>AVERAGE(AM7:AM46)</f>
        <v>3673.3232611979156</v>
      </c>
      <c r="AN47" s="208"/>
      <c r="AO47" s="228">
        <f aca="true" t="shared" si="19" ref="AO47:AT47">AVERAGE(AO7:AO46)</f>
        <v>321.2751671874998</v>
      </c>
      <c r="AP47" s="211">
        <f t="shared" si="19"/>
        <v>56.11312851562501</v>
      </c>
      <c r="AQ47" s="211">
        <f t="shared" si="19"/>
        <v>79.12037109374994</v>
      </c>
      <c r="AR47" s="211">
        <f t="shared" si="19"/>
        <v>490.5463007812502</v>
      </c>
      <c r="AS47" s="211">
        <f t="shared" si="19"/>
        <v>95.47191445312497</v>
      </c>
      <c r="AT47" s="213">
        <f t="shared" si="19"/>
        <v>1042.52688203125</v>
      </c>
    </row>
    <row r="48" spans="4:46" s="165" customFormat="1" ht="13.5" thickTop="1">
      <c r="D48" s="162" t="s">
        <v>47</v>
      </c>
      <c r="E48" s="163">
        <f>E47/12</f>
        <v>4784.1592500000015</v>
      </c>
      <c r="F48" s="163">
        <f>F47/12</f>
        <v>3516.0186041666675</v>
      </c>
      <c r="G48" s="163">
        <f>G47/12</f>
        <v>3306.0186041666675</v>
      </c>
      <c r="H48" s="163"/>
      <c r="I48" s="164"/>
      <c r="J48" s="163">
        <f>J47/12</f>
        <v>5274.69140625</v>
      </c>
      <c r="K48" s="163">
        <f>K47/12</f>
        <v>2888.640708333331</v>
      </c>
      <c r="L48" s="163">
        <f>L47/12</f>
        <v>-417.3778958333328</v>
      </c>
      <c r="M48" s="31"/>
      <c r="N48" s="31"/>
      <c r="P48" s="31"/>
      <c r="Q48" s="31"/>
      <c r="R48" s="115"/>
      <c r="S48" s="230"/>
      <c r="T48" s="365"/>
      <c r="U48" s="365"/>
      <c r="V48" s="365"/>
      <c r="W48" s="365"/>
      <c r="X48" s="365"/>
      <c r="AA48" s="230"/>
      <c r="AB48" s="217" t="s">
        <v>58</v>
      </c>
      <c r="AC48" s="215"/>
      <c r="AD48" s="215"/>
      <c r="AE48" s="40" t="s">
        <v>71</v>
      </c>
      <c r="AF48" s="240" t="s">
        <v>73</v>
      </c>
      <c r="AK48" s="161"/>
      <c r="AL48" s="161"/>
      <c r="AM48" s="161"/>
      <c r="AN48" s="161"/>
      <c r="AO48" s="161"/>
      <c r="AP48" s="161"/>
      <c r="AQ48" s="161"/>
      <c r="AR48" s="161"/>
      <c r="AS48" s="161"/>
      <c r="AT48" s="161"/>
    </row>
    <row r="49" spans="1:46" ht="12.75">
      <c r="A49" s="70"/>
      <c r="B49" s="70"/>
      <c r="C49" s="70"/>
      <c r="D49" s="71"/>
      <c r="E49" s="267"/>
      <c r="F49" s="72"/>
      <c r="G49" s="73"/>
      <c r="H49" s="74"/>
      <c r="I49" s="71"/>
      <c r="J49" s="267"/>
      <c r="K49" s="73"/>
      <c r="L49" s="75"/>
      <c r="M49" s="75"/>
      <c r="N49" s="76"/>
      <c r="O49" s="70"/>
      <c r="P49" s="77"/>
      <c r="Q49" s="77"/>
      <c r="R49" s="71"/>
      <c r="S49" s="197"/>
      <c r="AA49" s="197"/>
      <c r="AB49" s="40" t="s">
        <v>70</v>
      </c>
      <c r="AC49" s="218"/>
      <c r="AD49" s="218"/>
      <c r="AE49" s="218"/>
      <c r="AF49" s="218"/>
      <c r="AG49" s="218"/>
      <c r="AH49" s="216"/>
      <c r="AI49" s="216"/>
      <c r="AJ49" s="215"/>
      <c r="AK49" s="215"/>
      <c r="AL49" s="40"/>
      <c r="AM49" s="240" t="s">
        <v>72</v>
      </c>
      <c r="AN49" s="215"/>
      <c r="AP49" s="215"/>
      <c r="AQ49" s="215"/>
      <c r="AR49" s="240" t="s">
        <v>74</v>
      </c>
      <c r="AS49" s="215"/>
      <c r="AT49" s="216"/>
    </row>
  </sheetData>
  <sheetProtection/>
  <mergeCells count="3">
    <mergeCell ref="D5:G5"/>
    <mergeCell ref="I5:M5"/>
    <mergeCell ref="N47:P47"/>
  </mergeCells>
  <hyperlinks>
    <hyperlink ref="AM49" r:id="rId1" display="http://www.aok-bv.de/zahlen/gesundheitswesen/index_00529.html"/>
    <hyperlink ref="AR49" r:id="rId2" display="http://www.lohn-info.de/beitragsberechnung.html"/>
  </hyperlinks>
  <printOptions/>
  <pageMargins left="0.4" right="0.18" top="0.19" bottom="0.2" header="0.19" footer="0.17"/>
  <pageSetup horizontalDpi="600" verticalDpi="600" orientation="landscape" paperSize="9" r:id="rId3"/>
</worksheet>
</file>

<file path=xl/worksheets/sheet9.xml><?xml version="1.0" encoding="utf-8"?>
<worksheet xmlns="http://schemas.openxmlformats.org/spreadsheetml/2006/main" xmlns:r="http://schemas.openxmlformats.org/officeDocument/2006/relationships">
  <dimension ref="A1:AT50"/>
  <sheetViews>
    <sheetView zoomScale="80" zoomScaleNormal="80" zoomScalePageLayoutView="0" workbookViewId="0" topLeftCell="B1">
      <selection activeCell="L52" sqref="L52"/>
    </sheetView>
  </sheetViews>
  <sheetFormatPr defaultColWidth="11.421875" defaultRowHeight="12.75"/>
  <cols>
    <col min="1" max="1" width="5.57421875" style="5" customWidth="1"/>
    <col min="2" max="2" width="3.8515625" style="5" customWidth="1"/>
    <col min="3" max="3" width="2.28125" style="5" customWidth="1"/>
    <col min="4" max="4" width="4.421875" style="0" customWidth="1"/>
    <col min="5" max="5" width="11.00390625" style="3" customWidth="1"/>
    <col min="6" max="6" width="11.140625" style="6" customWidth="1"/>
    <col min="7" max="7" width="13.7109375" style="4" customWidth="1"/>
    <col min="8" max="8" width="2.421875" style="7" customWidth="1"/>
    <col min="9" max="9" width="4.140625" style="0" customWidth="1"/>
    <col min="10" max="10" width="11.421875" style="3" customWidth="1"/>
    <col min="11" max="11" width="11.57421875" style="4" customWidth="1"/>
    <col min="12" max="12" width="10.8515625" style="26" customWidth="1"/>
    <col min="13" max="13" width="12.7109375" style="26" customWidth="1"/>
    <col min="14" max="14" width="5.57421875" style="6" customWidth="1"/>
    <col min="15" max="15" width="4.28125" style="26" customWidth="1"/>
    <col min="16" max="16" width="10.7109375" style="30" customWidth="1"/>
    <col min="17" max="17" width="7.28125" style="30" customWidth="1"/>
    <col min="18" max="18" width="3.28125" style="0" customWidth="1"/>
    <col min="19" max="20" width="2.28125" style="197" customWidth="1"/>
    <col min="21" max="21" width="11.28125" style="197" customWidth="1"/>
    <col min="22" max="22" width="11.421875" style="197" customWidth="1"/>
    <col min="23" max="23" width="6.28125" style="197" customWidth="1"/>
    <col min="24" max="24" width="10.28125" style="197" customWidth="1"/>
    <col min="27" max="27" width="2.421875" style="0" customWidth="1"/>
    <col min="28" max="28" width="4.421875" style="0" customWidth="1"/>
    <col min="35" max="35" width="12.421875" style="0" customWidth="1"/>
    <col min="37" max="37" width="3.421875" style="0" customWidth="1"/>
    <col min="40" max="40" width="4.140625" style="0" customWidth="1"/>
  </cols>
  <sheetData>
    <row r="1" spans="4:46" ht="12.75" customHeight="1">
      <c r="D1" s="34" t="s">
        <v>25</v>
      </c>
      <c r="P1" s="22" t="s">
        <v>123</v>
      </c>
      <c r="Q1" s="33">
        <v>210</v>
      </c>
      <c r="R1" s="256"/>
      <c r="U1" s="197" t="s">
        <v>130</v>
      </c>
      <c r="V1" s="367" t="s">
        <v>132</v>
      </c>
      <c r="W1" s="367"/>
      <c r="Y1" s="367" t="s">
        <v>137</v>
      </c>
      <c r="AA1" s="197"/>
      <c r="AB1" s="197"/>
      <c r="AC1" s="2" t="s">
        <v>50</v>
      </c>
      <c r="AF1" s="239" t="s">
        <v>127</v>
      </c>
      <c r="AH1" s="198"/>
      <c r="AI1" s="198"/>
      <c r="AJ1" s="208">
        <v>53100</v>
      </c>
      <c r="AK1" s="117" t="s">
        <v>128</v>
      </c>
      <c r="AM1" s="137"/>
      <c r="AN1" s="2"/>
      <c r="AO1" s="2" t="s">
        <v>60</v>
      </c>
      <c r="AT1" s="198"/>
    </row>
    <row r="2" spans="18:46" ht="2.25" customHeight="1">
      <c r="R2" s="256"/>
      <c r="Y2" s="197"/>
      <c r="AA2" s="197"/>
      <c r="AB2" s="197"/>
      <c r="AH2" s="198"/>
      <c r="AI2" s="198"/>
      <c r="AJ2" s="2"/>
      <c r="AK2" s="117"/>
      <c r="AL2" s="117"/>
      <c r="AM2" s="137"/>
      <c r="AN2" s="2"/>
      <c r="AT2" s="198"/>
    </row>
    <row r="3" spans="1:46" ht="12.75">
      <c r="A3" s="8"/>
      <c r="B3" s="8"/>
      <c r="C3" s="8"/>
      <c r="D3" s="40" t="s">
        <v>124</v>
      </c>
      <c r="E3" s="10"/>
      <c r="F3" s="10"/>
      <c r="G3" s="11"/>
      <c r="H3" s="12"/>
      <c r="I3" s="9"/>
      <c r="J3" s="10"/>
      <c r="K3" s="11"/>
      <c r="L3" s="27"/>
      <c r="M3" s="27"/>
      <c r="N3" s="23"/>
      <c r="O3" s="27"/>
      <c r="P3" s="31"/>
      <c r="Q3" s="31"/>
      <c r="R3" s="256"/>
      <c r="U3" s="367" t="s">
        <v>141</v>
      </c>
      <c r="V3" s="369" t="s">
        <v>140</v>
      </c>
      <c r="Y3" s="367" t="s">
        <v>142</v>
      </c>
      <c r="AA3" s="197"/>
      <c r="AB3" s="197"/>
      <c r="AC3" t="s">
        <v>49</v>
      </c>
      <c r="AD3" t="s">
        <v>49</v>
      </c>
      <c r="AE3" t="s">
        <v>49</v>
      </c>
      <c r="AF3" t="s">
        <v>49</v>
      </c>
      <c r="AG3" t="s">
        <v>49</v>
      </c>
      <c r="AH3" s="198"/>
      <c r="AI3" s="198" t="s">
        <v>129</v>
      </c>
      <c r="AJ3" s="208">
        <v>78000</v>
      </c>
      <c r="AK3" s="117" t="s">
        <v>128</v>
      </c>
      <c r="AL3" s="117"/>
      <c r="AM3" s="137"/>
      <c r="AN3" s="2"/>
      <c r="AO3" t="s">
        <v>49</v>
      </c>
      <c r="AP3" t="s">
        <v>49</v>
      </c>
      <c r="AQ3" t="s">
        <v>49</v>
      </c>
      <c r="AR3" t="s">
        <v>49</v>
      </c>
      <c r="AS3" t="s">
        <v>49</v>
      </c>
      <c r="AT3" s="198"/>
    </row>
    <row r="4" spans="1:46" ht="3" customHeight="1">
      <c r="A4" s="8"/>
      <c r="B4" s="8"/>
      <c r="C4" s="8"/>
      <c r="D4" s="9"/>
      <c r="E4" s="10"/>
      <c r="F4" s="10"/>
      <c r="G4" s="11"/>
      <c r="H4" s="12"/>
      <c r="I4" s="9"/>
      <c r="J4" s="10"/>
      <c r="K4" s="11"/>
      <c r="L4" s="27"/>
      <c r="M4" s="27"/>
      <c r="N4" s="23"/>
      <c r="O4" s="27"/>
      <c r="P4" s="31"/>
      <c r="Q4" s="31"/>
      <c r="R4" s="256"/>
      <c r="Y4" s="197"/>
      <c r="AA4" s="197"/>
      <c r="AB4" s="197"/>
      <c r="AH4" s="198"/>
      <c r="AI4" s="198"/>
      <c r="AJ4" s="2"/>
      <c r="AK4" s="2"/>
      <c r="AL4" s="117"/>
      <c r="AM4" s="137"/>
      <c r="AN4" s="2"/>
      <c r="AT4" s="198"/>
    </row>
    <row r="5" spans="1:46" ht="35.25" customHeight="1">
      <c r="A5" s="8"/>
      <c r="B5" s="8"/>
      <c r="C5" s="8"/>
      <c r="D5" s="398" t="s">
        <v>105</v>
      </c>
      <c r="E5" s="399"/>
      <c r="F5" s="399"/>
      <c r="G5" s="400"/>
      <c r="H5" s="25"/>
      <c r="I5" s="401" t="s">
        <v>106</v>
      </c>
      <c r="J5" s="402"/>
      <c r="K5" s="402"/>
      <c r="L5" s="402"/>
      <c r="M5" s="403"/>
      <c r="N5" s="58"/>
      <c r="O5" s="58"/>
      <c r="P5" s="58"/>
      <c r="Q5" s="58"/>
      <c r="R5" s="256"/>
      <c r="U5" s="366">
        <v>3045</v>
      </c>
      <c r="V5" s="368">
        <v>32.03</v>
      </c>
      <c r="W5" s="368"/>
      <c r="Y5" s="368">
        <v>4</v>
      </c>
      <c r="AA5" s="197"/>
      <c r="AB5" s="197"/>
      <c r="AC5" s="219">
        <v>0.073</v>
      </c>
      <c r="AD5" s="220">
        <v>0.01275</v>
      </c>
      <c r="AE5" s="219">
        <v>0.015</v>
      </c>
      <c r="AF5" s="219">
        <v>0.093</v>
      </c>
      <c r="AG5" s="219">
        <v>0.0645</v>
      </c>
      <c r="AH5" s="219">
        <f>SUM(AC5:AG5)</f>
        <v>0.25825</v>
      </c>
      <c r="AI5" s="198"/>
      <c r="AJ5" s="2"/>
      <c r="AK5" s="2"/>
      <c r="AL5" s="117"/>
      <c r="AM5" s="137"/>
      <c r="AN5" s="2"/>
      <c r="AO5" s="219">
        <v>0.073</v>
      </c>
      <c r="AP5" s="220">
        <v>0.01275</v>
      </c>
      <c r="AQ5" s="219">
        <v>0.015</v>
      </c>
      <c r="AR5" s="219">
        <v>0.093</v>
      </c>
      <c r="AS5" s="219">
        <v>0.0181</v>
      </c>
      <c r="AT5" s="219">
        <f>SUM(AO5:AS5)</f>
        <v>0.21184999999999998</v>
      </c>
    </row>
    <row r="6" spans="1:46" ht="33" customHeight="1">
      <c r="A6" s="107" t="s">
        <v>29</v>
      </c>
      <c r="B6" s="13" t="s">
        <v>1</v>
      </c>
      <c r="C6" s="13"/>
      <c r="D6" s="59" t="s">
        <v>2</v>
      </c>
      <c r="E6" s="60" t="s">
        <v>4</v>
      </c>
      <c r="F6" s="60" t="s">
        <v>3</v>
      </c>
      <c r="G6" s="61" t="s">
        <v>23</v>
      </c>
      <c r="H6" s="15"/>
      <c r="I6" s="59" t="s">
        <v>2</v>
      </c>
      <c r="J6" s="60" t="s">
        <v>5</v>
      </c>
      <c r="K6" s="62" t="s">
        <v>6</v>
      </c>
      <c r="L6" s="63" t="s">
        <v>8</v>
      </c>
      <c r="M6" s="64" t="s">
        <v>24</v>
      </c>
      <c r="N6" s="107" t="s">
        <v>29</v>
      </c>
      <c r="O6" s="13" t="s">
        <v>1</v>
      </c>
      <c r="P6" s="48"/>
      <c r="Q6" s="48"/>
      <c r="R6" s="256"/>
      <c r="T6" s="378"/>
      <c r="U6" s="379" t="s">
        <v>131</v>
      </c>
      <c r="V6" s="380" t="s">
        <v>133</v>
      </c>
      <c r="W6" s="380" t="s">
        <v>135</v>
      </c>
      <c r="X6" s="381" t="s">
        <v>136</v>
      </c>
      <c r="Y6" s="380" t="s">
        <v>138</v>
      </c>
      <c r="Z6" s="382" t="s">
        <v>139</v>
      </c>
      <c r="AA6" s="197"/>
      <c r="AB6" s="199"/>
      <c r="AC6" s="200" t="s">
        <v>62</v>
      </c>
      <c r="AD6" s="200" t="s">
        <v>51</v>
      </c>
      <c r="AE6" s="200" t="s">
        <v>75</v>
      </c>
      <c r="AF6" s="200" t="s">
        <v>76</v>
      </c>
      <c r="AG6" s="200" t="s">
        <v>61</v>
      </c>
      <c r="AH6" s="201" t="s">
        <v>54</v>
      </c>
      <c r="AI6" s="201" t="s">
        <v>55</v>
      </c>
      <c r="AJ6" s="202" t="s">
        <v>56</v>
      </c>
      <c r="AK6" s="203"/>
      <c r="AL6" s="224" t="s">
        <v>57</v>
      </c>
      <c r="AM6" s="225" t="s">
        <v>59</v>
      </c>
      <c r="AN6" s="203"/>
      <c r="AO6" s="226" t="s">
        <v>62</v>
      </c>
      <c r="AP6" s="200" t="s">
        <v>51</v>
      </c>
      <c r="AQ6" s="200" t="s">
        <v>52</v>
      </c>
      <c r="AR6" s="200" t="s">
        <v>53</v>
      </c>
      <c r="AS6" s="200" t="s">
        <v>61</v>
      </c>
      <c r="AT6" s="232" t="s">
        <v>54</v>
      </c>
    </row>
    <row r="7" spans="1:46" ht="11.25" customHeight="1">
      <c r="A7" s="8">
        <v>1</v>
      </c>
      <c r="B7" s="8">
        <v>27</v>
      </c>
      <c r="C7" s="8"/>
      <c r="D7" s="346">
        <v>1</v>
      </c>
      <c r="E7" s="17">
        <f>VLOOKUP(D7,'A13 - Tabelle'!$A$6:$F$13,6)</f>
        <v>47088.24</v>
      </c>
      <c r="F7" s="17">
        <f>VLOOKUP(D7,'A13 - Tabelle'!$A$6:$G$13,7)</f>
        <v>36235.46</v>
      </c>
      <c r="G7" s="18">
        <f aca="true" t="shared" si="0" ref="G7:G46">F7-12*$Q$1</f>
        <v>33715.46</v>
      </c>
      <c r="H7" s="19"/>
      <c r="I7" s="16">
        <v>5</v>
      </c>
      <c r="J7" s="17">
        <f>VLOOKUP(I7,'E13 - Tabelle'!$A$7:$L$19,11)</f>
        <v>66242.875</v>
      </c>
      <c r="K7" s="20">
        <f>VLOOKUP(I7,'E13 - Tabelle'!$A$7:$L$19,12)</f>
        <v>35970.94</v>
      </c>
      <c r="L7" s="28">
        <f aca="true" t="shared" si="1" ref="L7:L46">K7-G7</f>
        <v>2255.480000000003</v>
      </c>
      <c r="M7" s="32">
        <f>L7</f>
        <v>2255.480000000003</v>
      </c>
      <c r="N7" s="8">
        <v>1</v>
      </c>
      <c r="O7" s="8">
        <v>27</v>
      </c>
      <c r="P7" s="47"/>
      <c r="Q7" s="47"/>
      <c r="R7" s="256"/>
      <c r="T7" s="204"/>
      <c r="U7" s="370">
        <f>J7/(U$5*12)</f>
        <v>1.8128865626710455</v>
      </c>
      <c r="V7" s="371"/>
      <c r="W7" s="68">
        <v>2.2</v>
      </c>
      <c r="X7" s="370">
        <f aca="true" t="shared" si="2" ref="X7:X46">J7/12/1000*W7</f>
        <v>12.144527083333333</v>
      </c>
      <c r="Y7" s="68"/>
      <c r="Z7" s="372"/>
      <c r="AA7" s="197"/>
      <c r="AB7" s="204"/>
      <c r="AC7" s="205">
        <f aca="true" t="shared" si="3" ref="AC7:AD26">IF(($J7&lt;$AJ$1),$J7/12*AC$5,$AJ$1/12*AC$5)</f>
        <v>323.025</v>
      </c>
      <c r="AD7" s="205">
        <f t="shared" si="3"/>
        <v>56.418749999999996</v>
      </c>
      <c r="AE7" s="205">
        <f>$J7/12*AE$5</f>
        <v>82.80359374999999</v>
      </c>
      <c r="AF7" s="205">
        <f>$J7/12*AF$5</f>
        <v>513.38228125</v>
      </c>
      <c r="AG7" s="205">
        <f>$J7/12*AG$5</f>
        <v>356.055453125</v>
      </c>
      <c r="AH7" s="206">
        <f>SUM(AC7:AG7)</f>
        <v>1331.685078125</v>
      </c>
      <c r="AI7" s="206">
        <f>J7/12</f>
        <v>5520.239583333333</v>
      </c>
      <c r="AJ7" s="207">
        <f>AI7+AH7</f>
        <v>6851.9246614583335</v>
      </c>
      <c r="AK7" s="208"/>
      <c r="AL7" s="221">
        <f>K7/12</f>
        <v>2997.5783333333334</v>
      </c>
      <c r="AM7" s="222">
        <f>AJ7-AL7</f>
        <v>3854.346328125</v>
      </c>
      <c r="AN7" s="208"/>
      <c r="AO7" s="227">
        <f aca="true" t="shared" si="4" ref="AO7:AP26">IF(($J7&lt;$AJ$1),$J7/12*AO$5,$AJ$1/12*AO$5)</f>
        <v>323.025</v>
      </c>
      <c r="AP7" s="227">
        <f t="shared" si="4"/>
        <v>56.418749999999996</v>
      </c>
      <c r="AQ7" s="205">
        <f>$J7/12*AQ$5</f>
        <v>82.80359374999999</v>
      </c>
      <c r="AR7" s="205">
        <f>$J7/12*AR$5</f>
        <v>513.38228125</v>
      </c>
      <c r="AS7" s="205">
        <f>$J7/12*AS$5</f>
        <v>99.91633645833333</v>
      </c>
      <c r="AT7" s="231">
        <f>SUM(AO7:AS7)</f>
        <v>1075.5459614583333</v>
      </c>
    </row>
    <row r="8" spans="1:46" ht="11.25" customHeight="1">
      <c r="A8" s="8">
        <v>2</v>
      </c>
      <c r="B8" s="8">
        <v>28</v>
      </c>
      <c r="C8" s="8"/>
      <c r="D8" s="346">
        <v>2</v>
      </c>
      <c r="E8" s="17">
        <f>VLOOKUP(D8,'A13 - Tabelle'!$A$6:$F$13,6)</f>
        <v>49409.64</v>
      </c>
      <c r="F8" s="17">
        <f>VLOOKUP(D8,'A13 - Tabelle'!$A$6:$G$13,7)</f>
        <v>37624.24</v>
      </c>
      <c r="G8" s="18">
        <f t="shared" si="0"/>
        <v>35104.24</v>
      </c>
      <c r="H8" s="19"/>
      <c r="I8" s="16">
        <v>5</v>
      </c>
      <c r="J8" s="17">
        <f>VLOOKUP(I8,'E13 - Tabelle'!$A$7:$L$19,11)</f>
        <v>66242.875</v>
      </c>
      <c r="K8" s="20">
        <f>VLOOKUP(I8,'E13 - Tabelle'!$A$7:$L$19,12)</f>
        <v>35970.94</v>
      </c>
      <c r="L8" s="28">
        <f t="shared" si="1"/>
        <v>866.7000000000044</v>
      </c>
      <c r="M8" s="32">
        <f aca="true" t="shared" si="5" ref="M8:M46">L8+M7</f>
        <v>3122.1800000000076</v>
      </c>
      <c r="N8" s="8">
        <v>2</v>
      </c>
      <c r="O8" s="8">
        <v>28</v>
      </c>
      <c r="P8" s="47"/>
      <c r="Q8" s="47"/>
      <c r="R8" s="256"/>
      <c r="T8" s="204"/>
      <c r="U8" s="370">
        <f aca="true" t="shared" si="6" ref="U8:U46">J8/(U$5*12)</f>
        <v>1.8128865626710455</v>
      </c>
      <c r="V8" s="371"/>
      <c r="W8" s="68">
        <v>2.2</v>
      </c>
      <c r="X8" s="370">
        <f t="shared" si="2"/>
        <v>12.144527083333333</v>
      </c>
      <c r="Y8" s="68"/>
      <c r="Z8" s="372"/>
      <c r="AA8" s="197"/>
      <c r="AB8" s="204"/>
      <c r="AC8" s="205">
        <f t="shared" si="3"/>
        <v>323.025</v>
      </c>
      <c r="AD8" s="205">
        <f t="shared" si="3"/>
        <v>56.418749999999996</v>
      </c>
      <c r="AE8" s="205">
        <f aca="true" t="shared" si="7" ref="AE8:AG46">$J8/12*AE$5</f>
        <v>82.80359374999999</v>
      </c>
      <c r="AF8" s="205">
        <f t="shared" si="7"/>
        <v>513.38228125</v>
      </c>
      <c r="AG8" s="205">
        <f t="shared" si="7"/>
        <v>356.055453125</v>
      </c>
      <c r="AH8" s="206">
        <f aca="true" t="shared" si="8" ref="AH8:AH46">SUM(AC8:AG8)</f>
        <v>1331.685078125</v>
      </c>
      <c r="AI8" s="206">
        <f aca="true" t="shared" si="9" ref="AI8:AI46">J8/12</f>
        <v>5520.239583333333</v>
      </c>
      <c r="AJ8" s="207">
        <f aca="true" t="shared" si="10" ref="AJ8:AJ46">AI8+AH8</f>
        <v>6851.9246614583335</v>
      </c>
      <c r="AK8" s="208"/>
      <c r="AL8" s="221">
        <f aca="true" t="shared" si="11" ref="AL8:AL46">K8/12</f>
        <v>2997.5783333333334</v>
      </c>
      <c r="AM8" s="222">
        <f aca="true" t="shared" si="12" ref="AM8:AM46">AJ8-AL8</f>
        <v>3854.346328125</v>
      </c>
      <c r="AN8" s="208"/>
      <c r="AO8" s="227">
        <f t="shared" si="4"/>
        <v>323.025</v>
      </c>
      <c r="AP8" s="227">
        <f t="shared" si="4"/>
        <v>56.418749999999996</v>
      </c>
      <c r="AQ8" s="205">
        <f aca="true" t="shared" si="13" ref="AQ8:AS46">$J8/12*AQ$5</f>
        <v>82.80359374999999</v>
      </c>
      <c r="AR8" s="205">
        <f t="shared" si="13"/>
        <v>513.38228125</v>
      </c>
      <c r="AS8" s="205">
        <f t="shared" si="13"/>
        <v>99.91633645833333</v>
      </c>
      <c r="AT8" s="231">
        <f aca="true" t="shared" si="14" ref="AT8:AT46">SUM(AO8:AS8)</f>
        <v>1075.5459614583333</v>
      </c>
    </row>
    <row r="9" spans="1:46" ht="11.25" customHeight="1">
      <c r="A9" s="8">
        <v>3</v>
      </c>
      <c r="B9" s="8">
        <v>29</v>
      </c>
      <c r="C9" s="8"/>
      <c r="D9" s="346">
        <v>2</v>
      </c>
      <c r="E9" s="17">
        <f>VLOOKUP(D9,'A13 - Tabelle'!$A$6:$F$13,6)</f>
        <v>49409.64</v>
      </c>
      <c r="F9" s="17">
        <f>VLOOKUP(D9,'A13 - Tabelle'!$A$6:$G$13,7)</f>
        <v>37624.24</v>
      </c>
      <c r="G9" s="18">
        <f t="shared" si="0"/>
        <v>35104.24</v>
      </c>
      <c r="H9" s="19"/>
      <c r="I9" s="16">
        <v>5</v>
      </c>
      <c r="J9" s="17">
        <f>VLOOKUP(I9,'E13 - Tabelle'!$A$7:$L$19,11)</f>
        <v>66242.875</v>
      </c>
      <c r="K9" s="20">
        <f>VLOOKUP(I9,'E13 - Tabelle'!$A$7:$L$19,12)</f>
        <v>35970.94</v>
      </c>
      <c r="L9" s="28">
        <f t="shared" si="1"/>
        <v>866.7000000000044</v>
      </c>
      <c r="M9" s="32">
        <f t="shared" si="5"/>
        <v>3988.880000000012</v>
      </c>
      <c r="N9" s="8">
        <v>3</v>
      </c>
      <c r="O9" s="8">
        <v>29</v>
      </c>
      <c r="P9" s="47"/>
      <c r="Q9" s="47"/>
      <c r="R9" s="256"/>
      <c r="T9" s="204"/>
      <c r="U9" s="370">
        <f t="shared" si="6"/>
        <v>1.8128865626710455</v>
      </c>
      <c r="V9" s="371"/>
      <c r="W9" s="68">
        <v>2.1</v>
      </c>
      <c r="X9" s="370">
        <f t="shared" si="2"/>
        <v>11.592503125</v>
      </c>
      <c r="Y9" s="68"/>
      <c r="Z9" s="372"/>
      <c r="AA9" s="197"/>
      <c r="AB9" s="204"/>
      <c r="AC9" s="205">
        <f t="shared" si="3"/>
        <v>323.025</v>
      </c>
      <c r="AD9" s="205">
        <f t="shared" si="3"/>
        <v>56.418749999999996</v>
      </c>
      <c r="AE9" s="205">
        <f t="shared" si="7"/>
        <v>82.80359374999999</v>
      </c>
      <c r="AF9" s="205">
        <f t="shared" si="7"/>
        <v>513.38228125</v>
      </c>
      <c r="AG9" s="205">
        <f t="shared" si="7"/>
        <v>356.055453125</v>
      </c>
      <c r="AH9" s="206">
        <f t="shared" si="8"/>
        <v>1331.685078125</v>
      </c>
      <c r="AI9" s="206">
        <f t="shared" si="9"/>
        <v>5520.239583333333</v>
      </c>
      <c r="AJ9" s="207">
        <f t="shared" si="10"/>
        <v>6851.9246614583335</v>
      </c>
      <c r="AK9" s="208"/>
      <c r="AL9" s="221">
        <f t="shared" si="11"/>
        <v>2997.5783333333334</v>
      </c>
      <c r="AM9" s="222">
        <f t="shared" si="12"/>
        <v>3854.346328125</v>
      </c>
      <c r="AN9" s="208"/>
      <c r="AO9" s="227">
        <f t="shared" si="4"/>
        <v>323.025</v>
      </c>
      <c r="AP9" s="227">
        <f t="shared" si="4"/>
        <v>56.418749999999996</v>
      </c>
      <c r="AQ9" s="205">
        <f t="shared" si="13"/>
        <v>82.80359374999999</v>
      </c>
      <c r="AR9" s="205">
        <f t="shared" si="13"/>
        <v>513.38228125</v>
      </c>
      <c r="AS9" s="205">
        <f t="shared" si="13"/>
        <v>99.91633645833333</v>
      </c>
      <c r="AT9" s="231">
        <f t="shared" si="14"/>
        <v>1075.5459614583333</v>
      </c>
    </row>
    <row r="10" spans="1:46" ht="11.25" customHeight="1">
      <c r="A10" s="8">
        <v>4</v>
      </c>
      <c r="B10" s="8">
        <v>30</v>
      </c>
      <c r="C10" s="8"/>
      <c r="D10" s="346">
        <v>2</v>
      </c>
      <c r="E10" s="17">
        <f>VLOOKUP(D10,'A13 - Tabelle'!$A$6:$F$13,6)</f>
        <v>49409.64</v>
      </c>
      <c r="F10" s="17">
        <f>VLOOKUP(D10,'A13 - Tabelle'!$A$6:$G$13,7)</f>
        <v>37624.24</v>
      </c>
      <c r="G10" s="18">
        <f t="shared" si="0"/>
        <v>35104.24</v>
      </c>
      <c r="H10" s="19"/>
      <c r="I10" s="16">
        <v>5</v>
      </c>
      <c r="J10" s="17">
        <f>VLOOKUP(I10,'E13 - Tabelle'!$A$7:$L$19,11)</f>
        <v>66242.875</v>
      </c>
      <c r="K10" s="20">
        <f>VLOOKUP(I10,'E13 - Tabelle'!$A$7:$L$19,12)</f>
        <v>35970.94</v>
      </c>
      <c r="L10" s="29">
        <f t="shared" si="1"/>
        <v>866.7000000000044</v>
      </c>
      <c r="M10" s="32">
        <f t="shared" si="5"/>
        <v>4855.580000000016</v>
      </c>
      <c r="N10" s="8">
        <v>4</v>
      </c>
      <c r="O10" s="8">
        <v>30</v>
      </c>
      <c r="P10" s="47"/>
      <c r="Q10" s="47"/>
      <c r="R10" s="256"/>
      <c r="T10" s="204"/>
      <c r="U10" s="370">
        <f t="shared" si="6"/>
        <v>1.8128865626710455</v>
      </c>
      <c r="V10" s="371"/>
      <c r="W10" s="68">
        <v>2</v>
      </c>
      <c r="X10" s="370">
        <f t="shared" si="2"/>
        <v>11.040479166666666</v>
      </c>
      <c r="Y10" s="68"/>
      <c r="Z10" s="372"/>
      <c r="AA10" s="197"/>
      <c r="AB10" s="204"/>
      <c r="AC10" s="205">
        <f t="shared" si="3"/>
        <v>323.025</v>
      </c>
      <c r="AD10" s="205">
        <f t="shared" si="3"/>
        <v>56.418749999999996</v>
      </c>
      <c r="AE10" s="205">
        <f t="shared" si="7"/>
        <v>82.80359374999999</v>
      </c>
      <c r="AF10" s="205">
        <f t="shared" si="7"/>
        <v>513.38228125</v>
      </c>
      <c r="AG10" s="205">
        <f t="shared" si="7"/>
        <v>356.055453125</v>
      </c>
      <c r="AH10" s="206">
        <f t="shared" si="8"/>
        <v>1331.685078125</v>
      </c>
      <c r="AI10" s="206">
        <f t="shared" si="9"/>
        <v>5520.239583333333</v>
      </c>
      <c r="AJ10" s="207">
        <f t="shared" si="10"/>
        <v>6851.9246614583335</v>
      </c>
      <c r="AK10" s="208"/>
      <c r="AL10" s="221">
        <f t="shared" si="11"/>
        <v>2997.5783333333334</v>
      </c>
      <c r="AM10" s="222">
        <f t="shared" si="12"/>
        <v>3854.346328125</v>
      </c>
      <c r="AN10" s="208"/>
      <c r="AO10" s="227">
        <f t="shared" si="4"/>
        <v>323.025</v>
      </c>
      <c r="AP10" s="227">
        <f t="shared" si="4"/>
        <v>56.418749999999996</v>
      </c>
      <c r="AQ10" s="205">
        <f t="shared" si="13"/>
        <v>82.80359374999999</v>
      </c>
      <c r="AR10" s="205">
        <f t="shared" si="13"/>
        <v>513.38228125</v>
      </c>
      <c r="AS10" s="205">
        <f t="shared" si="13"/>
        <v>99.91633645833333</v>
      </c>
      <c r="AT10" s="231">
        <f t="shared" si="14"/>
        <v>1075.5459614583333</v>
      </c>
    </row>
    <row r="11" spans="1:46" ht="11.25" customHeight="1">
      <c r="A11" s="8">
        <v>5</v>
      </c>
      <c r="B11" s="8">
        <v>31</v>
      </c>
      <c r="C11" s="8"/>
      <c r="D11" s="346">
        <v>3</v>
      </c>
      <c r="E11" s="17">
        <f>VLOOKUP(D11,'A13 - Tabelle'!$A$6:$F$13,6)</f>
        <v>51730.799999999996</v>
      </c>
      <c r="F11" s="17">
        <f>VLOOKUP(D11,'A13 - Tabelle'!$A$6:$G$13,7)</f>
        <v>38986.4</v>
      </c>
      <c r="G11" s="18">
        <f t="shared" si="0"/>
        <v>36466.4</v>
      </c>
      <c r="H11" s="19"/>
      <c r="I11" s="16">
        <v>5</v>
      </c>
      <c r="J11" s="17">
        <f>VLOOKUP(I11,'E13 - Tabelle'!$A$7:$L$19,11)</f>
        <v>66242.875</v>
      </c>
      <c r="K11" s="20">
        <f>VLOOKUP(I11,'E13 - Tabelle'!$A$7:$L$19,12)</f>
        <v>35970.94</v>
      </c>
      <c r="L11" s="29">
        <f t="shared" si="1"/>
        <v>-495.4599999999991</v>
      </c>
      <c r="M11" s="32">
        <f t="shared" si="5"/>
        <v>4360.120000000017</v>
      </c>
      <c r="N11" s="8">
        <v>5</v>
      </c>
      <c r="O11" s="8">
        <v>31</v>
      </c>
      <c r="P11" s="47"/>
      <c r="Q11" s="47"/>
      <c r="R11" s="256"/>
      <c r="T11" s="204"/>
      <c r="U11" s="370">
        <f t="shared" si="6"/>
        <v>1.8128865626710455</v>
      </c>
      <c r="V11" s="371"/>
      <c r="W11" s="68">
        <v>2</v>
      </c>
      <c r="X11" s="370">
        <f t="shared" si="2"/>
        <v>11.040479166666666</v>
      </c>
      <c r="Y11" s="68"/>
      <c r="Z11" s="372"/>
      <c r="AA11" s="197"/>
      <c r="AB11" s="204"/>
      <c r="AC11" s="205">
        <f t="shared" si="3"/>
        <v>323.025</v>
      </c>
      <c r="AD11" s="205">
        <f t="shared" si="3"/>
        <v>56.418749999999996</v>
      </c>
      <c r="AE11" s="205">
        <f t="shared" si="7"/>
        <v>82.80359374999999</v>
      </c>
      <c r="AF11" s="205">
        <f t="shared" si="7"/>
        <v>513.38228125</v>
      </c>
      <c r="AG11" s="205">
        <f t="shared" si="7"/>
        <v>356.055453125</v>
      </c>
      <c r="AH11" s="206">
        <f t="shared" si="8"/>
        <v>1331.685078125</v>
      </c>
      <c r="AI11" s="206">
        <f t="shared" si="9"/>
        <v>5520.239583333333</v>
      </c>
      <c r="AJ11" s="207">
        <f t="shared" si="10"/>
        <v>6851.9246614583335</v>
      </c>
      <c r="AK11" s="208"/>
      <c r="AL11" s="221">
        <f t="shared" si="11"/>
        <v>2997.5783333333334</v>
      </c>
      <c r="AM11" s="222">
        <f t="shared" si="12"/>
        <v>3854.346328125</v>
      </c>
      <c r="AN11" s="208"/>
      <c r="AO11" s="227">
        <f t="shared" si="4"/>
        <v>323.025</v>
      </c>
      <c r="AP11" s="227">
        <f t="shared" si="4"/>
        <v>56.418749999999996</v>
      </c>
      <c r="AQ11" s="205">
        <f t="shared" si="13"/>
        <v>82.80359374999999</v>
      </c>
      <c r="AR11" s="205">
        <f t="shared" si="13"/>
        <v>513.38228125</v>
      </c>
      <c r="AS11" s="205">
        <f t="shared" si="13"/>
        <v>99.91633645833333</v>
      </c>
      <c r="AT11" s="231">
        <f t="shared" si="14"/>
        <v>1075.5459614583333</v>
      </c>
    </row>
    <row r="12" spans="1:46" ht="11.25" customHeight="1">
      <c r="A12" s="8">
        <v>6</v>
      </c>
      <c r="B12" s="8">
        <v>32</v>
      </c>
      <c r="C12" s="8"/>
      <c r="D12" s="346">
        <v>3</v>
      </c>
      <c r="E12" s="17">
        <f>VLOOKUP(D12,'A13 - Tabelle'!$A$6:$F$13,6)</f>
        <v>51730.799999999996</v>
      </c>
      <c r="F12" s="17">
        <f>VLOOKUP(D12,'A13 - Tabelle'!$A$6:$G$13,7)</f>
        <v>38986.4</v>
      </c>
      <c r="G12" s="18">
        <f t="shared" si="0"/>
        <v>36466.4</v>
      </c>
      <c r="H12" s="19"/>
      <c r="I12" s="16">
        <v>5</v>
      </c>
      <c r="J12" s="17">
        <f>VLOOKUP(I12,'E13 - Tabelle'!$A$7:$L$19,11)</f>
        <v>66242.875</v>
      </c>
      <c r="K12" s="20">
        <f>VLOOKUP(I12,'E13 - Tabelle'!$A$7:$L$19,12)</f>
        <v>35970.94</v>
      </c>
      <c r="L12" s="28">
        <f t="shared" si="1"/>
        <v>-495.4599999999991</v>
      </c>
      <c r="M12" s="32">
        <f t="shared" si="5"/>
        <v>3864.660000000018</v>
      </c>
      <c r="N12" s="8">
        <v>6</v>
      </c>
      <c r="O12" s="8">
        <v>32</v>
      </c>
      <c r="P12" s="47"/>
      <c r="Q12" s="47"/>
      <c r="R12" s="256"/>
      <c r="T12" s="204"/>
      <c r="U12" s="370">
        <f t="shared" si="6"/>
        <v>1.8128865626710455</v>
      </c>
      <c r="V12" s="371"/>
      <c r="W12" s="68">
        <v>1.9</v>
      </c>
      <c r="X12" s="370">
        <f t="shared" si="2"/>
        <v>10.488455208333331</v>
      </c>
      <c r="Y12" s="68"/>
      <c r="Z12" s="372"/>
      <c r="AA12" s="197"/>
      <c r="AB12" s="204"/>
      <c r="AC12" s="205">
        <f t="shared" si="3"/>
        <v>323.025</v>
      </c>
      <c r="AD12" s="205">
        <f t="shared" si="3"/>
        <v>56.418749999999996</v>
      </c>
      <c r="AE12" s="205">
        <f t="shared" si="7"/>
        <v>82.80359374999999</v>
      </c>
      <c r="AF12" s="205">
        <f t="shared" si="7"/>
        <v>513.38228125</v>
      </c>
      <c r="AG12" s="205">
        <f t="shared" si="7"/>
        <v>356.055453125</v>
      </c>
      <c r="AH12" s="206">
        <f t="shared" si="8"/>
        <v>1331.685078125</v>
      </c>
      <c r="AI12" s="206">
        <f t="shared" si="9"/>
        <v>5520.239583333333</v>
      </c>
      <c r="AJ12" s="207">
        <f t="shared" si="10"/>
        <v>6851.9246614583335</v>
      </c>
      <c r="AK12" s="208"/>
      <c r="AL12" s="221">
        <f t="shared" si="11"/>
        <v>2997.5783333333334</v>
      </c>
      <c r="AM12" s="222">
        <f t="shared" si="12"/>
        <v>3854.346328125</v>
      </c>
      <c r="AN12" s="208"/>
      <c r="AO12" s="227">
        <f t="shared" si="4"/>
        <v>323.025</v>
      </c>
      <c r="AP12" s="227">
        <f t="shared" si="4"/>
        <v>56.418749999999996</v>
      </c>
      <c r="AQ12" s="205">
        <f t="shared" si="13"/>
        <v>82.80359374999999</v>
      </c>
      <c r="AR12" s="205">
        <f t="shared" si="13"/>
        <v>513.38228125</v>
      </c>
      <c r="AS12" s="205">
        <f t="shared" si="13"/>
        <v>99.91633645833333</v>
      </c>
      <c r="AT12" s="231">
        <f t="shared" si="14"/>
        <v>1075.5459614583333</v>
      </c>
    </row>
    <row r="13" spans="1:46" ht="11.25" customHeight="1">
      <c r="A13" s="8">
        <v>7</v>
      </c>
      <c r="B13" s="8">
        <v>33</v>
      </c>
      <c r="C13" s="8"/>
      <c r="D13" s="346">
        <v>3</v>
      </c>
      <c r="E13" s="17">
        <f>VLOOKUP(D13,'A13 - Tabelle'!$A$6:$F$13,6)</f>
        <v>51730.799999999996</v>
      </c>
      <c r="F13" s="17">
        <f>VLOOKUP(D13,'A13 - Tabelle'!$A$6:$G$13,7)</f>
        <v>38986.4</v>
      </c>
      <c r="G13" s="18">
        <f t="shared" si="0"/>
        <v>36466.4</v>
      </c>
      <c r="H13" s="19"/>
      <c r="I13" s="16">
        <v>5</v>
      </c>
      <c r="J13" s="17">
        <f>VLOOKUP(I13,'E13 - Tabelle'!$A$7:$L$19,11)</f>
        <v>66242.875</v>
      </c>
      <c r="K13" s="20">
        <f>VLOOKUP(I13,'E13 - Tabelle'!$A$7:$L$19,12)</f>
        <v>35970.94</v>
      </c>
      <c r="L13" s="28">
        <f t="shared" si="1"/>
        <v>-495.4599999999991</v>
      </c>
      <c r="M13" s="32">
        <f t="shared" si="5"/>
        <v>3369.200000000019</v>
      </c>
      <c r="N13" s="8">
        <v>7</v>
      </c>
      <c r="O13" s="8">
        <v>33</v>
      </c>
      <c r="P13" s="47"/>
      <c r="Q13" s="47"/>
      <c r="R13" s="256"/>
      <c r="T13" s="204"/>
      <c r="U13" s="370">
        <f t="shared" si="6"/>
        <v>1.8128865626710455</v>
      </c>
      <c r="V13" s="371"/>
      <c r="W13" s="68">
        <v>1.9</v>
      </c>
      <c r="X13" s="370">
        <f t="shared" si="2"/>
        <v>10.488455208333331</v>
      </c>
      <c r="Y13" s="68"/>
      <c r="Z13" s="372"/>
      <c r="AA13" s="197"/>
      <c r="AB13" s="204"/>
      <c r="AC13" s="205">
        <f t="shared" si="3"/>
        <v>323.025</v>
      </c>
      <c r="AD13" s="205">
        <f t="shared" si="3"/>
        <v>56.418749999999996</v>
      </c>
      <c r="AE13" s="205">
        <f t="shared" si="7"/>
        <v>82.80359374999999</v>
      </c>
      <c r="AF13" s="205">
        <f t="shared" si="7"/>
        <v>513.38228125</v>
      </c>
      <c r="AG13" s="205">
        <f t="shared" si="7"/>
        <v>356.055453125</v>
      </c>
      <c r="AH13" s="206">
        <f t="shared" si="8"/>
        <v>1331.685078125</v>
      </c>
      <c r="AI13" s="206">
        <f t="shared" si="9"/>
        <v>5520.239583333333</v>
      </c>
      <c r="AJ13" s="207">
        <f t="shared" si="10"/>
        <v>6851.9246614583335</v>
      </c>
      <c r="AK13" s="208"/>
      <c r="AL13" s="221">
        <f t="shared" si="11"/>
        <v>2997.5783333333334</v>
      </c>
      <c r="AM13" s="222">
        <f t="shared" si="12"/>
        <v>3854.346328125</v>
      </c>
      <c r="AN13" s="208"/>
      <c r="AO13" s="227">
        <f t="shared" si="4"/>
        <v>323.025</v>
      </c>
      <c r="AP13" s="227">
        <f t="shared" si="4"/>
        <v>56.418749999999996</v>
      </c>
      <c r="AQ13" s="205">
        <f t="shared" si="13"/>
        <v>82.80359374999999</v>
      </c>
      <c r="AR13" s="205">
        <f t="shared" si="13"/>
        <v>513.38228125</v>
      </c>
      <c r="AS13" s="205">
        <f t="shared" si="13"/>
        <v>99.91633645833333</v>
      </c>
      <c r="AT13" s="231">
        <f t="shared" si="14"/>
        <v>1075.5459614583333</v>
      </c>
    </row>
    <row r="14" spans="1:46" ht="11.25" customHeight="1">
      <c r="A14" s="8">
        <v>8</v>
      </c>
      <c r="B14" s="8">
        <v>34</v>
      </c>
      <c r="C14" s="8"/>
      <c r="D14" s="346">
        <v>4</v>
      </c>
      <c r="E14" s="17">
        <f>VLOOKUP(D14,'A13 - Tabelle'!$A$6:$F$13,6)</f>
        <v>54066.240000000005</v>
      </c>
      <c r="F14" s="17">
        <f>VLOOKUP(D14,'A13 - Tabelle'!$A$6:$G$13,7)</f>
        <v>40332.25</v>
      </c>
      <c r="G14" s="18">
        <f t="shared" si="0"/>
        <v>37812.25</v>
      </c>
      <c r="H14" s="19"/>
      <c r="I14" s="16">
        <v>5</v>
      </c>
      <c r="J14" s="17">
        <f>VLOOKUP(I14,'E13 - Tabelle'!$A$7:$L$19,11)</f>
        <v>66242.875</v>
      </c>
      <c r="K14" s="20">
        <f>VLOOKUP(I14,'E13 - Tabelle'!$A$7:$L$19,12)</f>
        <v>35970.94</v>
      </c>
      <c r="L14" s="28">
        <f t="shared" si="1"/>
        <v>-1841.3099999999977</v>
      </c>
      <c r="M14" s="150">
        <f t="shared" si="5"/>
        <v>1527.8900000000212</v>
      </c>
      <c r="N14" s="8">
        <v>8</v>
      </c>
      <c r="O14" s="8">
        <v>34</v>
      </c>
      <c r="P14" s="47"/>
      <c r="Q14" s="47"/>
      <c r="R14" s="256"/>
      <c r="T14" s="204"/>
      <c r="U14" s="370">
        <f t="shared" si="6"/>
        <v>1.8128865626710455</v>
      </c>
      <c r="V14" s="371"/>
      <c r="W14" s="68">
        <v>1.8</v>
      </c>
      <c r="X14" s="370">
        <f t="shared" si="2"/>
        <v>9.93643125</v>
      </c>
      <c r="Y14" s="68"/>
      <c r="Z14" s="372"/>
      <c r="AA14" s="197"/>
      <c r="AB14" s="204"/>
      <c r="AC14" s="205">
        <f t="shared" si="3"/>
        <v>323.025</v>
      </c>
      <c r="AD14" s="205">
        <f t="shared" si="3"/>
        <v>56.418749999999996</v>
      </c>
      <c r="AE14" s="205">
        <f t="shared" si="7"/>
        <v>82.80359374999999</v>
      </c>
      <c r="AF14" s="205">
        <f t="shared" si="7"/>
        <v>513.38228125</v>
      </c>
      <c r="AG14" s="205">
        <f t="shared" si="7"/>
        <v>356.055453125</v>
      </c>
      <c r="AH14" s="206">
        <f t="shared" si="8"/>
        <v>1331.685078125</v>
      </c>
      <c r="AI14" s="206">
        <f t="shared" si="9"/>
        <v>5520.239583333333</v>
      </c>
      <c r="AJ14" s="207">
        <f t="shared" si="10"/>
        <v>6851.9246614583335</v>
      </c>
      <c r="AK14" s="208"/>
      <c r="AL14" s="221">
        <f t="shared" si="11"/>
        <v>2997.5783333333334</v>
      </c>
      <c r="AM14" s="222">
        <f t="shared" si="12"/>
        <v>3854.346328125</v>
      </c>
      <c r="AN14" s="208"/>
      <c r="AO14" s="227">
        <f t="shared" si="4"/>
        <v>323.025</v>
      </c>
      <c r="AP14" s="227">
        <f t="shared" si="4"/>
        <v>56.418749999999996</v>
      </c>
      <c r="AQ14" s="205">
        <f t="shared" si="13"/>
        <v>82.80359374999999</v>
      </c>
      <c r="AR14" s="205">
        <f t="shared" si="13"/>
        <v>513.38228125</v>
      </c>
      <c r="AS14" s="205">
        <f t="shared" si="13"/>
        <v>99.91633645833333</v>
      </c>
      <c r="AT14" s="231">
        <f t="shared" si="14"/>
        <v>1075.5459614583333</v>
      </c>
    </row>
    <row r="15" spans="1:46" ht="11.25" customHeight="1">
      <c r="A15" s="8">
        <v>9</v>
      </c>
      <c r="B15" s="8">
        <v>35</v>
      </c>
      <c r="C15" s="8"/>
      <c r="D15" s="346">
        <v>4</v>
      </c>
      <c r="E15" s="17">
        <f>VLOOKUP(D15,'A13 - Tabelle'!$A$6:$F$13,6)</f>
        <v>54066.240000000005</v>
      </c>
      <c r="F15" s="17">
        <f>VLOOKUP(D15,'A13 - Tabelle'!$A$6:$G$13,7)</f>
        <v>40332.25</v>
      </c>
      <c r="G15" s="18">
        <f t="shared" si="0"/>
        <v>37812.25</v>
      </c>
      <c r="H15" s="19"/>
      <c r="I15" s="16">
        <v>5</v>
      </c>
      <c r="J15" s="17">
        <f>VLOOKUP(I15,'E13 - Tabelle'!$A$7:$L$19,11)</f>
        <v>66242.875</v>
      </c>
      <c r="K15" s="20">
        <f>VLOOKUP(I15,'E13 - Tabelle'!$A$7:$L$19,12)</f>
        <v>35970.94</v>
      </c>
      <c r="L15" s="28">
        <f t="shared" si="1"/>
        <v>-1841.3099999999977</v>
      </c>
      <c r="M15" s="150">
        <f t="shared" si="5"/>
        <v>-313.4199999999764</v>
      </c>
      <c r="N15" s="8">
        <v>9</v>
      </c>
      <c r="O15" s="8">
        <v>35</v>
      </c>
      <c r="P15" s="47"/>
      <c r="Q15" s="47"/>
      <c r="R15" s="256"/>
      <c r="T15" s="204"/>
      <c r="U15" s="370">
        <f t="shared" si="6"/>
        <v>1.8128865626710455</v>
      </c>
      <c r="V15" s="371"/>
      <c r="W15" s="68">
        <v>1.7</v>
      </c>
      <c r="X15" s="370">
        <f t="shared" si="2"/>
        <v>9.384407291666665</v>
      </c>
      <c r="Y15" s="68"/>
      <c r="Z15" s="372"/>
      <c r="AA15" s="197"/>
      <c r="AB15" s="204"/>
      <c r="AC15" s="205">
        <f t="shared" si="3"/>
        <v>323.025</v>
      </c>
      <c r="AD15" s="205">
        <f t="shared" si="3"/>
        <v>56.418749999999996</v>
      </c>
      <c r="AE15" s="205">
        <f t="shared" si="7"/>
        <v>82.80359374999999</v>
      </c>
      <c r="AF15" s="205">
        <f t="shared" si="7"/>
        <v>513.38228125</v>
      </c>
      <c r="AG15" s="205">
        <f t="shared" si="7"/>
        <v>356.055453125</v>
      </c>
      <c r="AH15" s="206">
        <f t="shared" si="8"/>
        <v>1331.685078125</v>
      </c>
      <c r="AI15" s="206">
        <f t="shared" si="9"/>
        <v>5520.239583333333</v>
      </c>
      <c r="AJ15" s="207">
        <f t="shared" si="10"/>
        <v>6851.9246614583335</v>
      </c>
      <c r="AK15" s="208"/>
      <c r="AL15" s="221">
        <f t="shared" si="11"/>
        <v>2997.5783333333334</v>
      </c>
      <c r="AM15" s="222">
        <f t="shared" si="12"/>
        <v>3854.346328125</v>
      </c>
      <c r="AN15" s="208"/>
      <c r="AO15" s="227">
        <f t="shared" si="4"/>
        <v>323.025</v>
      </c>
      <c r="AP15" s="227">
        <f t="shared" si="4"/>
        <v>56.418749999999996</v>
      </c>
      <c r="AQ15" s="205">
        <f t="shared" si="13"/>
        <v>82.80359374999999</v>
      </c>
      <c r="AR15" s="205">
        <f t="shared" si="13"/>
        <v>513.38228125</v>
      </c>
      <c r="AS15" s="205">
        <f t="shared" si="13"/>
        <v>99.91633645833333</v>
      </c>
      <c r="AT15" s="231">
        <f t="shared" si="14"/>
        <v>1075.5459614583333</v>
      </c>
    </row>
    <row r="16" spans="1:46" ht="11.25" customHeight="1">
      <c r="A16" s="8">
        <v>10</v>
      </c>
      <c r="B16" s="8">
        <v>36</v>
      </c>
      <c r="C16" s="8"/>
      <c r="D16" s="346">
        <v>4</v>
      </c>
      <c r="E16" s="17">
        <f>VLOOKUP(D16,'A13 - Tabelle'!$A$6:$F$13,6)</f>
        <v>54066.240000000005</v>
      </c>
      <c r="F16" s="17">
        <f>VLOOKUP(D16,'A13 - Tabelle'!$A$6:$G$13,7)</f>
        <v>40332.25</v>
      </c>
      <c r="G16" s="18">
        <f t="shared" si="0"/>
        <v>37812.25</v>
      </c>
      <c r="H16" s="19"/>
      <c r="I16" s="16">
        <v>5</v>
      </c>
      <c r="J16" s="17">
        <f>VLOOKUP(I16,'E13 - Tabelle'!$A$7:$L$19,11)</f>
        <v>66242.875</v>
      </c>
      <c r="K16" s="20">
        <f>VLOOKUP(I16,'E13 - Tabelle'!$A$7:$L$19,12)</f>
        <v>35970.94</v>
      </c>
      <c r="L16" s="28">
        <f t="shared" si="1"/>
        <v>-1841.3099999999977</v>
      </c>
      <c r="M16" s="32">
        <f t="shared" si="5"/>
        <v>-2154.729999999974</v>
      </c>
      <c r="N16" s="8">
        <v>10</v>
      </c>
      <c r="O16" s="8">
        <v>36</v>
      </c>
      <c r="P16" s="47"/>
      <c r="Q16" s="47"/>
      <c r="R16" s="256"/>
      <c r="T16" s="204"/>
      <c r="U16" s="370">
        <f t="shared" si="6"/>
        <v>1.8128865626710455</v>
      </c>
      <c r="V16" s="371"/>
      <c r="W16" s="68">
        <v>1.7</v>
      </c>
      <c r="X16" s="370">
        <f t="shared" si="2"/>
        <v>9.384407291666665</v>
      </c>
      <c r="Y16" s="68"/>
      <c r="Z16" s="372"/>
      <c r="AA16" s="197"/>
      <c r="AB16" s="204"/>
      <c r="AC16" s="205">
        <f t="shared" si="3"/>
        <v>323.025</v>
      </c>
      <c r="AD16" s="205">
        <f t="shared" si="3"/>
        <v>56.418749999999996</v>
      </c>
      <c r="AE16" s="205">
        <f t="shared" si="7"/>
        <v>82.80359374999999</v>
      </c>
      <c r="AF16" s="205">
        <f t="shared" si="7"/>
        <v>513.38228125</v>
      </c>
      <c r="AG16" s="205">
        <f t="shared" si="7"/>
        <v>356.055453125</v>
      </c>
      <c r="AH16" s="206">
        <f t="shared" si="8"/>
        <v>1331.685078125</v>
      </c>
      <c r="AI16" s="206">
        <f t="shared" si="9"/>
        <v>5520.239583333333</v>
      </c>
      <c r="AJ16" s="207">
        <f t="shared" si="10"/>
        <v>6851.9246614583335</v>
      </c>
      <c r="AK16" s="208"/>
      <c r="AL16" s="221">
        <f t="shared" si="11"/>
        <v>2997.5783333333334</v>
      </c>
      <c r="AM16" s="222">
        <f t="shared" si="12"/>
        <v>3854.346328125</v>
      </c>
      <c r="AN16" s="208"/>
      <c r="AO16" s="227">
        <f t="shared" si="4"/>
        <v>323.025</v>
      </c>
      <c r="AP16" s="227">
        <f t="shared" si="4"/>
        <v>56.418749999999996</v>
      </c>
      <c r="AQ16" s="205">
        <f t="shared" si="13"/>
        <v>82.80359374999999</v>
      </c>
      <c r="AR16" s="205">
        <f t="shared" si="13"/>
        <v>513.38228125</v>
      </c>
      <c r="AS16" s="205">
        <f t="shared" si="13"/>
        <v>99.91633645833333</v>
      </c>
      <c r="AT16" s="231">
        <f t="shared" si="14"/>
        <v>1075.5459614583333</v>
      </c>
    </row>
    <row r="17" spans="1:46" ht="11.25" customHeight="1">
      <c r="A17" s="8">
        <v>11</v>
      </c>
      <c r="B17" s="8">
        <v>37</v>
      </c>
      <c r="C17" s="8"/>
      <c r="D17" s="346">
        <v>5</v>
      </c>
      <c r="E17" s="17">
        <f>VLOOKUP(D17,'A13 - Tabelle'!$A$6:$F$13,6)</f>
        <v>56257.68000000001</v>
      </c>
      <c r="F17" s="17">
        <f>VLOOKUP(D17,'A13 - Tabelle'!$A$6:$G$13,7)</f>
        <v>41572.08</v>
      </c>
      <c r="G17" s="18">
        <f t="shared" si="0"/>
        <v>39052.08</v>
      </c>
      <c r="H17" s="19"/>
      <c r="I17" s="16">
        <v>5</v>
      </c>
      <c r="J17" s="17">
        <f>VLOOKUP(I17,'E13 - Tabelle'!$A$7:$L$19,11)</f>
        <v>66242.875</v>
      </c>
      <c r="K17" s="20">
        <f>VLOOKUP(I17,'E13 - Tabelle'!$A$7:$L$19,12)</f>
        <v>35970.94</v>
      </c>
      <c r="L17" s="28">
        <f t="shared" si="1"/>
        <v>-3081.1399999999994</v>
      </c>
      <c r="M17" s="32">
        <f t="shared" si="5"/>
        <v>-5235.8699999999735</v>
      </c>
      <c r="N17" s="8">
        <v>11</v>
      </c>
      <c r="O17" s="8">
        <v>37</v>
      </c>
      <c r="P17" s="47"/>
      <c r="Q17" s="47"/>
      <c r="R17" s="256"/>
      <c r="T17" s="204"/>
      <c r="U17" s="370">
        <f t="shared" si="6"/>
        <v>1.8128865626710455</v>
      </c>
      <c r="V17" s="371"/>
      <c r="W17" s="68">
        <v>1.6</v>
      </c>
      <c r="X17" s="370">
        <f t="shared" si="2"/>
        <v>8.832383333333333</v>
      </c>
      <c r="Y17" s="68"/>
      <c r="Z17" s="372"/>
      <c r="AA17" s="197"/>
      <c r="AB17" s="204"/>
      <c r="AC17" s="205">
        <f t="shared" si="3"/>
        <v>323.025</v>
      </c>
      <c r="AD17" s="205">
        <f t="shared" si="3"/>
        <v>56.418749999999996</v>
      </c>
      <c r="AE17" s="205">
        <f t="shared" si="7"/>
        <v>82.80359374999999</v>
      </c>
      <c r="AF17" s="205">
        <f t="shared" si="7"/>
        <v>513.38228125</v>
      </c>
      <c r="AG17" s="205">
        <f t="shared" si="7"/>
        <v>356.055453125</v>
      </c>
      <c r="AH17" s="206">
        <f t="shared" si="8"/>
        <v>1331.685078125</v>
      </c>
      <c r="AI17" s="206">
        <f t="shared" si="9"/>
        <v>5520.239583333333</v>
      </c>
      <c r="AJ17" s="207">
        <f t="shared" si="10"/>
        <v>6851.9246614583335</v>
      </c>
      <c r="AK17" s="208"/>
      <c r="AL17" s="221">
        <f t="shared" si="11"/>
        <v>2997.5783333333334</v>
      </c>
      <c r="AM17" s="222">
        <f t="shared" si="12"/>
        <v>3854.346328125</v>
      </c>
      <c r="AN17" s="208"/>
      <c r="AO17" s="227">
        <f t="shared" si="4"/>
        <v>323.025</v>
      </c>
      <c r="AP17" s="227">
        <f t="shared" si="4"/>
        <v>56.418749999999996</v>
      </c>
      <c r="AQ17" s="205">
        <f t="shared" si="13"/>
        <v>82.80359374999999</v>
      </c>
      <c r="AR17" s="205">
        <f t="shared" si="13"/>
        <v>513.38228125</v>
      </c>
      <c r="AS17" s="205">
        <f t="shared" si="13"/>
        <v>99.91633645833333</v>
      </c>
      <c r="AT17" s="231">
        <f t="shared" si="14"/>
        <v>1075.5459614583333</v>
      </c>
    </row>
    <row r="18" spans="1:46" ht="11.25" customHeight="1">
      <c r="A18" s="8">
        <v>12</v>
      </c>
      <c r="B18" s="8">
        <v>38</v>
      </c>
      <c r="C18" s="8"/>
      <c r="D18" s="346">
        <v>5</v>
      </c>
      <c r="E18" s="17">
        <f>VLOOKUP(D18,'A13 - Tabelle'!$A$6:$F$13,6)</f>
        <v>56257.68000000001</v>
      </c>
      <c r="F18" s="17">
        <f>VLOOKUP(D18,'A13 - Tabelle'!$A$6:$G$13,7)</f>
        <v>41572.08</v>
      </c>
      <c r="G18" s="18">
        <f t="shared" si="0"/>
        <v>39052.08</v>
      </c>
      <c r="H18" s="19"/>
      <c r="I18" s="16">
        <v>5</v>
      </c>
      <c r="J18" s="17">
        <f>VLOOKUP(I18,'E13 - Tabelle'!$A$7:$L$19,11)</f>
        <v>66242.875</v>
      </c>
      <c r="K18" s="20">
        <f>VLOOKUP(I18,'E13 - Tabelle'!$A$7:$L$19,12)</f>
        <v>35970.94</v>
      </c>
      <c r="L18" s="28">
        <f t="shared" si="1"/>
        <v>-3081.1399999999994</v>
      </c>
      <c r="M18" s="32">
        <f t="shared" si="5"/>
        <v>-8317.009999999973</v>
      </c>
      <c r="N18" s="8">
        <v>12</v>
      </c>
      <c r="O18" s="8">
        <v>38</v>
      </c>
      <c r="P18" s="47"/>
      <c r="Q18" s="47"/>
      <c r="R18" s="256"/>
      <c r="T18" s="204"/>
      <c r="U18" s="370">
        <f t="shared" si="6"/>
        <v>1.8128865626710455</v>
      </c>
      <c r="V18" s="371"/>
      <c r="W18" s="68">
        <v>1.6</v>
      </c>
      <c r="X18" s="370">
        <f t="shared" si="2"/>
        <v>8.832383333333333</v>
      </c>
      <c r="Y18" s="68"/>
      <c r="Z18" s="372"/>
      <c r="AA18" s="197"/>
      <c r="AB18" s="204"/>
      <c r="AC18" s="205">
        <f t="shared" si="3"/>
        <v>323.025</v>
      </c>
      <c r="AD18" s="205">
        <f t="shared" si="3"/>
        <v>56.418749999999996</v>
      </c>
      <c r="AE18" s="205">
        <f t="shared" si="7"/>
        <v>82.80359374999999</v>
      </c>
      <c r="AF18" s="205">
        <f t="shared" si="7"/>
        <v>513.38228125</v>
      </c>
      <c r="AG18" s="205">
        <f t="shared" si="7"/>
        <v>356.055453125</v>
      </c>
      <c r="AH18" s="206">
        <f t="shared" si="8"/>
        <v>1331.685078125</v>
      </c>
      <c r="AI18" s="206">
        <f t="shared" si="9"/>
        <v>5520.239583333333</v>
      </c>
      <c r="AJ18" s="207">
        <f t="shared" si="10"/>
        <v>6851.9246614583335</v>
      </c>
      <c r="AK18" s="208"/>
      <c r="AL18" s="221">
        <f t="shared" si="11"/>
        <v>2997.5783333333334</v>
      </c>
      <c r="AM18" s="222">
        <f t="shared" si="12"/>
        <v>3854.346328125</v>
      </c>
      <c r="AN18" s="208"/>
      <c r="AO18" s="227">
        <f t="shared" si="4"/>
        <v>323.025</v>
      </c>
      <c r="AP18" s="227">
        <f t="shared" si="4"/>
        <v>56.418749999999996</v>
      </c>
      <c r="AQ18" s="205">
        <f t="shared" si="13"/>
        <v>82.80359374999999</v>
      </c>
      <c r="AR18" s="205">
        <f t="shared" si="13"/>
        <v>513.38228125</v>
      </c>
      <c r="AS18" s="205">
        <f t="shared" si="13"/>
        <v>99.91633645833333</v>
      </c>
      <c r="AT18" s="231">
        <f t="shared" si="14"/>
        <v>1075.5459614583333</v>
      </c>
    </row>
    <row r="19" spans="1:46" ht="11.25" customHeight="1">
      <c r="A19" s="8">
        <v>13</v>
      </c>
      <c r="B19" s="8">
        <v>39</v>
      </c>
      <c r="C19" s="8"/>
      <c r="D19" s="346">
        <v>5</v>
      </c>
      <c r="E19" s="17">
        <f>VLOOKUP(D19,'A13 - Tabelle'!$A$6:$F$13,6)</f>
        <v>56257.68000000001</v>
      </c>
      <c r="F19" s="17">
        <f>VLOOKUP(D19,'A13 - Tabelle'!$A$6:$G$13,7)</f>
        <v>41572.08</v>
      </c>
      <c r="G19" s="18">
        <f t="shared" si="0"/>
        <v>39052.08</v>
      </c>
      <c r="H19" s="19"/>
      <c r="I19" s="16">
        <v>5</v>
      </c>
      <c r="J19" s="17">
        <f>VLOOKUP(I19,'E13 - Tabelle'!$A$7:$L$19,11)</f>
        <v>66242.875</v>
      </c>
      <c r="K19" s="20">
        <f>VLOOKUP(I19,'E13 - Tabelle'!$A$7:$L$19,12)</f>
        <v>35970.94</v>
      </c>
      <c r="L19" s="28">
        <f t="shared" si="1"/>
        <v>-3081.1399999999994</v>
      </c>
      <c r="M19" s="32">
        <f t="shared" si="5"/>
        <v>-11398.149999999972</v>
      </c>
      <c r="N19" s="8">
        <v>13</v>
      </c>
      <c r="O19" s="8">
        <v>39</v>
      </c>
      <c r="P19" s="47"/>
      <c r="Q19" s="47"/>
      <c r="R19" s="256"/>
      <c r="T19" s="204"/>
      <c r="U19" s="370">
        <f t="shared" si="6"/>
        <v>1.8128865626710455</v>
      </c>
      <c r="V19" s="371"/>
      <c r="W19" s="68">
        <v>1.6</v>
      </c>
      <c r="X19" s="370">
        <f t="shared" si="2"/>
        <v>8.832383333333333</v>
      </c>
      <c r="Y19" s="68"/>
      <c r="Z19" s="372"/>
      <c r="AA19" s="197"/>
      <c r="AB19" s="204"/>
      <c r="AC19" s="205">
        <f t="shared" si="3"/>
        <v>323.025</v>
      </c>
      <c r="AD19" s="205">
        <f t="shared" si="3"/>
        <v>56.418749999999996</v>
      </c>
      <c r="AE19" s="205">
        <f t="shared" si="7"/>
        <v>82.80359374999999</v>
      </c>
      <c r="AF19" s="205">
        <f t="shared" si="7"/>
        <v>513.38228125</v>
      </c>
      <c r="AG19" s="205">
        <f t="shared" si="7"/>
        <v>356.055453125</v>
      </c>
      <c r="AH19" s="206">
        <f t="shared" si="8"/>
        <v>1331.685078125</v>
      </c>
      <c r="AI19" s="206">
        <f t="shared" si="9"/>
        <v>5520.239583333333</v>
      </c>
      <c r="AJ19" s="207">
        <f t="shared" si="10"/>
        <v>6851.9246614583335</v>
      </c>
      <c r="AK19" s="208"/>
      <c r="AL19" s="221">
        <f t="shared" si="11"/>
        <v>2997.5783333333334</v>
      </c>
      <c r="AM19" s="222">
        <f t="shared" si="12"/>
        <v>3854.346328125</v>
      </c>
      <c r="AN19" s="208"/>
      <c r="AO19" s="227">
        <f t="shared" si="4"/>
        <v>323.025</v>
      </c>
      <c r="AP19" s="227">
        <f t="shared" si="4"/>
        <v>56.418749999999996</v>
      </c>
      <c r="AQ19" s="205">
        <f t="shared" si="13"/>
        <v>82.80359374999999</v>
      </c>
      <c r="AR19" s="205">
        <f t="shared" si="13"/>
        <v>513.38228125</v>
      </c>
      <c r="AS19" s="205">
        <f t="shared" si="13"/>
        <v>99.91633645833333</v>
      </c>
      <c r="AT19" s="231">
        <f t="shared" si="14"/>
        <v>1075.5459614583333</v>
      </c>
    </row>
    <row r="20" spans="1:46" ht="11.25" customHeight="1">
      <c r="A20" s="8">
        <v>14</v>
      </c>
      <c r="B20" s="8">
        <v>40</v>
      </c>
      <c r="C20" s="8"/>
      <c r="D20" s="346">
        <v>5</v>
      </c>
      <c r="E20" s="17">
        <f>VLOOKUP(D20,'A13 - Tabelle'!$A$6:$F$13,6)</f>
        <v>56257.68000000001</v>
      </c>
      <c r="F20" s="17">
        <f>VLOOKUP(D20,'A13 - Tabelle'!$A$6:$G$13,7)</f>
        <v>41572.08</v>
      </c>
      <c r="G20" s="18">
        <f t="shared" si="0"/>
        <v>39052.08</v>
      </c>
      <c r="H20" s="19"/>
      <c r="I20" s="16">
        <v>5</v>
      </c>
      <c r="J20" s="17">
        <f>VLOOKUP(I20,'E13 - Tabelle'!$A$7:$L$19,11)</f>
        <v>66242.875</v>
      </c>
      <c r="K20" s="20">
        <f>VLOOKUP(I20,'E13 - Tabelle'!$A$7:$L$19,12)</f>
        <v>35970.94</v>
      </c>
      <c r="L20" s="28">
        <f t="shared" si="1"/>
        <v>-3081.1399999999994</v>
      </c>
      <c r="M20" s="32">
        <f t="shared" si="5"/>
        <v>-14479.289999999972</v>
      </c>
      <c r="N20" s="8">
        <v>14</v>
      </c>
      <c r="O20" s="8">
        <v>40</v>
      </c>
      <c r="P20" s="47"/>
      <c r="Q20" s="47"/>
      <c r="R20" s="256"/>
      <c r="T20" s="204"/>
      <c r="U20" s="370">
        <f t="shared" si="6"/>
        <v>1.8128865626710455</v>
      </c>
      <c r="V20" s="371"/>
      <c r="W20" s="68">
        <v>1.5</v>
      </c>
      <c r="X20" s="370">
        <f t="shared" si="2"/>
        <v>8.280359375</v>
      </c>
      <c r="Y20" s="68"/>
      <c r="Z20" s="372"/>
      <c r="AA20" s="197"/>
      <c r="AB20" s="204"/>
      <c r="AC20" s="205">
        <f t="shared" si="3"/>
        <v>323.025</v>
      </c>
      <c r="AD20" s="205">
        <f t="shared" si="3"/>
        <v>56.418749999999996</v>
      </c>
      <c r="AE20" s="205">
        <f t="shared" si="7"/>
        <v>82.80359374999999</v>
      </c>
      <c r="AF20" s="205">
        <f t="shared" si="7"/>
        <v>513.38228125</v>
      </c>
      <c r="AG20" s="205">
        <f t="shared" si="7"/>
        <v>356.055453125</v>
      </c>
      <c r="AH20" s="206">
        <f t="shared" si="8"/>
        <v>1331.685078125</v>
      </c>
      <c r="AI20" s="206">
        <f t="shared" si="9"/>
        <v>5520.239583333333</v>
      </c>
      <c r="AJ20" s="207">
        <f t="shared" si="10"/>
        <v>6851.9246614583335</v>
      </c>
      <c r="AK20" s="208"/>
      <c r="AL20" s="221">
        <f t="shared" si="11"/>
        <v>2997.5783333333334</v>
      </c>
      <c r="AM20" s="222">
        <f t="shared" si="12"/>
        <v>3854.346328125</v>
      </c>
      <c r="AN20" s="208"/>
      <c r="AO20" s="227">
        <f t="shared" si="4"/>
        <v>323.025</v>
      </c>
      <c r="AP20" s="227">
        <f t="shared" si="4"/>
        <v>56.418749999999996</v>
      </c>
      <c r="AQ20" s="205">
        <f t="shared" si="13"/>
        <v>82.80359374999999</v>
      </c>
      <c r="AR20" s="205">
        <f t="shared" si="13"/>
        <v>513.38228125</v>
      </c>
      <c r="AS20" s="205">
        <f t="shared" si="13"/>
        <v>99.91633645833333</v>
      </c>
      <c r="AT20" s="231">
        <f t="shared" si="14"/>
        <v>1075.5459614583333</v>
      </c>
    </row>
    <row r="21" spans="1:46" ht="11.25" customHeight="1">
      <c r="A21" s="8">
        <v>15</v>
      </c>
      <c r="B21" s="8">
        <v>41</v>
      </c>
      <c r="C21" s="8"/>
      <c r="D21" s="346">
        <v>6</v>
      </c>
      <c r="E21" s="17">
        <f>VLOOKUP(D21,'A13 - Tabelle'!$A$6:$F$13,6)</f>
        <v>57295.799999999996</v>
      </c>
      <c r="F21" s="17">
        <f>VLOOKUP(D21,'A13 - Tabelle'!$A$6:$G$13,7)</f>
        <v>42151.28</v>
      </c>
      <c r="G21" s="18">
        <f t="shared" si="0"/>
        <v>39631.28</v>
      </c>
      <c r="H21" s="19"/>
      <c r="I21" s="16">
        <v>5</v>
      </c>
      <c r="J21" s="17">
        <f>VLOOKUP(I21,'E13 - Tabelle'!$A$7:$L$19,11)</f>
        <v>66242.875</v>
      </c>
      <c r="K21" s="20">
        <f>VLOOKUP(I21,'E13 - Tabelle'!$A$7:$L$19,12)</f>
        <v>35970.94</v>
      </c>
      <c r="L21" s="28">
        <f t="shared" si="1"/>
        <v>-3660.3399999999965</v>
      </c>
      <c r="M21" s="32">
        <f t="shared" si="5"/>
        <v>-18139.62999999997</v>
      </c>
      <c r="N21" s="8">
        <v>15</v>
      </c>
      <c r="O21" s="8">
        <v>41</v>
      </c>
      <c r="P21" s="47"/>
      <c r="Q21" s="47"/>
      <c r="R21" s="256"/>
      <c r="T21" s="204"/>
      <c r="U21" s="370">
        <f t="shared" si="6"/>
        <v>1.8128865626710455</v>
      </c>
      <c r="V21" s="371"/>
      <c r="W21" s="68">
        <v>1.5</v>
      </c>
      <c r="X21" s="370">
        <f t="shared" si="2"/>
        <v>8.280359375</v>
      </c>
      <c r="Y21" s="68"/>
      <c r="Z21" s="372"/>
      <c r="AA21" s="197"/>
      <c r="AB21" s="204"/>
      <c r="AC21" s="205">
        <f t="shared" si="3"/>
        <v>323.025</v>
      </c>
      <c r="AD21" s="205">
        <f t="shared" si="3"/>
        <v>56.418749999999996</v>
      </c>
      <c r="AE21" s="205">
        <f t="shared" si="7"/>
        <v>82.80359374999999</v>
      </c>
      <c r="AF21" s="205">
        <f t="shared" si="7"/>
        <v>513.38228125</v>
      </c>
      <c r="AG21" s="205">
        <f t="shared" si="7"/>
        <v>356.055453125</v>
      </c>
      <c r="AH21" s="206">
        <f t="shared" si="8"/>
        <v>1331.685078125</v>
      </c>
      <c r="AI21" s="206">
        <f t="shared" si="9"/>
        <v>5520.239583333333</v>
      </c>
      <c r="AJ21" s="207">
        <f t="shared" si="10"/>
        <v>6851.9246614583335</v>
      </c>
      <c r="AK21" s="208"/>
      <c r="AL21" s="221">
        <f t="shared" si="11"/>
        <v>2997.5783333333334</v>
      </c>
      <c r="AM21" s="222">
        <f t="shared" si="12"/>
        <v>3854.346328125</v>
      </c>
      <c r="AN21" s="208"/>
      <c r="AO21" s="227">
        <f t="shared" si="4"/>
        <v>323.025</v>
      </c>
      <c r="AP21" s="227">
        <f t="shared" si="4"/>
        <v>56.418749999999996</v>
      </c>
      <c r="AQ21" s="205">
        <f t="shared" si="13"/>
        <v>82.80359374999999</v>
      </c>
      <c r="AR21" s="205">
        <f t="shared" si="13"/>
        <v>513.38228125</v>
      </c>
      <c r="AS21" s="205">
        <f t="shared" si="13"/>
        <v>99.91633645833333</v>
      </c>
      <c r="AT21" s="231">
        <f t="shared" si="14"/>
        <v>1075.5459614583333</v>
      </c>
    </row>
    <row r="22" spans="1:46" ht="11.25" customHeight="1">
      <c r="A22" s="8">
        <v>16</v>
      </c>
      <c r="B22" s="8">
        <v>42</v>
      </c>
      <c r="C22" s="8"/>
      <c r="D22" s="346">
        <v>6</v>
      </c>
      <c r="E22" s="17">
        <f>VLOOKUP(D22,'A13 - Tabelle'!$A$6:$F$13,6)</f>
        <v>57295.799999999996</v>
      </c>
      <c r="F22" s="17">
        <f>VLOOKUP(D22,'A13 - Tabelle'!$A$6:$G$13,7)</f>
        <v>42151.28</v>
      </c>
      <c r="G22" s="18">
        <f t="shared" si="0"/>
        <v>39631.28</v>
      </c>
      <c r="H22" s="19"/>
      <c r="I22" s="16">
        <v>6</v>
      </c>
      <c r="J22" s="17">
        <f>VLOOKUP(I22,'E13 - Tabelle'!$A$7:$L$19,11)</f>
        <v>68230.125</v>
      </c>
      <c r="K22" s="20">
        <f>VLOOKUP(I22,'E13 - Tabelle'!$A$7:$L$19,12)</f>
        <v>36819.16</v>
      </c>
      <c r="L22" s="28">
        <f t="shared" si="1"/>
        <v>-2812.1199999999953</v>
      </c>
      <c r="M22" s="32">
        <f t="shared" si="5"/>
        <v>-20951.749999999964</v>
      </c>
      <c r="N22" s="8">
        <v>16</v>
      </c>
      <c r="O22" s="8">
        <v>42</v>
      </c>
      <c r="P22" s="47"/>
      <c r="Q22" s="47"/>
      <c r="R22" s="256"/>
      <c r="T22" s="204"/>
      <c r="U22" s="370">
        <f t="shared" si="6"/>
        <v>1.8672721674876847</v>
      </c>
      <c r="V22" s="371"/>
      <c r="W22" s="68">
        <v>1.4</v>
      </c>
      <c r="X22" s="370">
        <f t="shared" si="2"/>
        <v>7.96018125</v>
      </c>
      <c r="Y22" s="68"/>
      <c r="Z22" s="372"/>
      <c r="AA22" s="197"/>
      <c r="AB22" s="204"/>
      <c r="AC22" s="205">
        <f t="shared" si="3"/>
        <v>323.025</v>
      </c>
      <c r="AD22" s="205">
        <f t="shared" si="3"/>
        <v>56.418749999999996</v>
      </c>
      <c r="AE22" s="205">
        <f t="shared" si="7"/>
        <v>85.28765625</v>
      </c>
      <c r="AF22" s="205">
        <f t="shared" si="7"/>
        <v>528.78346875</v>
      </c>
      <c r="AG22" s="205">
        <f t="shared" si="7"/>
        <v>366.736921875</v>
      </c>
      <c r="AH22" s="206">
        <f t="shared" si="8"/>
        <v>1360.2517968749999</v>
      </c>
      <c r="AI22" s="206">
        <f t="shared" si="9"/>
        <v>5685.84375</v>
      </c>
      <c r="AJ22" s="207">
        <f t="shared" si="10"/>
        <v>7046.095546875</v>
      </c>
      <c r="AK22" s="208"/>
      <c r="AL22" s="221">
        <f t="shared" si="11"/>
        <v>3068.263333333334</v>
      </c>
      <c r="AM22" s="222">
        <f t="shared" si="12"/>
        <v>3977.832213541666</v>
      </c>
      <c r="AN22" s="208"/>
      <c r="AO22" s="227">
        <f t="shared" si="4"/>
        <v>323.025</v>
      </c>
      <c r="AP22" s="227">
        <f t="shared" si="4"/>
        <v>56.418749999999996</v>
      </c>
      <c r="AQ22" s="205">
        <f t="shared" si="13"/>
        <v>85.28765625</v>
      </c>
      <c r="AR22" s="205">
        <f t="shared" si="13"/>
        <v>528.78346875</v>
      </c>
      <c r="AS22" s="205">
        <f t="shared" si="13"/>
        <v>102.91377187500001</v>
      </c>
      <c r="AT22" s="231">
        <f t="shared" si="14"/>
        <v>1096.428646875</v>
      </c>
    </row>
    <row r="23" spans="1:46" ht="11.25" customHeight="1">
      <c r="A23" s="8">
        <v>17</v>
      </c>
      <c r="B23" s="8">
        <v>43</v>
      </c>
      <c r="C23" s="8"/>
      <c r="D23" s="346">
        <v>6</v>
      </c>
      <c r="E23" s="17">
        <f>VLOOKUP(D23,'A13 - Tabelle'!$A$6:$F$13,6)</f>
        <v>57295.799999999996</v>
      </c>
      <c r="F23" s="17">
        <f>VLOOKUP(D23,'A13 - Tabelle'!$A$6:$G$13,7)</f>
        <v>42151.28</v>
      </c>
      <c r="G23" s="18">
        <f t="shared" si="0"/>
        <v>39631.28</v>
      </c>
      <c r="H23" s="19"/>
      <c r="I23" s="16">
        <v>6</v>
      </c>
      <c r="J23" s="17">
        <f>VLOOKUP(I23,'E13 - Tabelle'!$A$7:$L$19,11)</f>
        <v>68230.125</v>
      </c>
      <c r="K23" s="20">
        <f>VLOOKUP(I23,'E13 - Tabelle'!$A$7:$L$19,12)</f>
        <v>36819.16</v>
      </c>
      <c r="L23" s="28">
        <f t="shared" si="1"/>
        <v>-2812.1199999999953</v>
      </c>
      <c r="M23" s="32">
        <f t="shared" si="5"/>
        <v>-23763.86999999996</v>
      </c>
      <c r="N23" s="8">
        <v>17</v>
      </c>
      <c r="O23" s="8">
        <v>43</v>
      </c>
      <c r="P23" s="47"/>
      <c r="Q23" s="47"/>
      <c r="R23" s="256"/>
      <c r="T23" s="204"/>
      <c r="U23" s="370">
        <f t="shared" si="6"/>
        <v>1.8672721674876847</v>
      </c>
      <c r="V23" s="371"/>
      <c r="W23" s="68">
        <v>1.4</v>
      </c>
      <c r="X23" s="370">
        <f t="shared" si="2"/>
        <v>7.96018125</v>
      </c>
      <c r="Y23" s="68"/>
      <c r="Z23" s="372"/>
      <c r="AA23" s="197"/>
      <c r="AB23" s="204"/>
      <c r="AC23" s="205">
        <f t="shared" si="3"/>
        <v>323.025</v>
      </c>
      <c r="AD23" s="205">
        <f t="shared" si="3"/>
        <v>56.418749999999996</v>
      </c>
      <c r="AE23" s="205">
        <f t="shared" si="7"/>
        <v>85.28765625</v>
      </c>
      <c r="AF23" s="205">
        <f t="shared" si="7"/>
        <v>528.78346875</v>
      </c>
      <c r="AG23" s="205">
        <f t="shared" si="7"/>
        <v>366.736921875</v>
      </c>
      <c r="AH23" s="206">
        <f t="shared" si="8"/>
        <v>1360.2517968749999</v>
      </c>
      <c r="AI23" s="206">
        <f t="shared" si="9"/>
        <v>5685.84375</v>
      </c>
      <c r="AJ23" s="207">
        <f t="shared" si="10"/>
        <v>7046.095546875</v>
      </c>
      <c r="AK23" s="208"/>
      <c r="AL23" s="221">
        <f t="shared" si="11"/>
        <v>3068.263333333334</v>
      </c>
      <c r="AM23" s="222">
        <f t="shared" si="12"/>
        <v>3977.832213541666</v>
      </c>
      <c r="AN23" s="208"/>
      <c r="AO23" s="227">
        <f t="shared" si="4"/>
        <v>323.025</v>
      </c>
      <c r="AP23" s="227">
        <f t="shared" si="4"/>
        <v>56.418749999999996</v>
      </c>
      <c r="AQ23" s="205">
        <f t="shared" si="13"/>
        <v>85.28765625</v>
      </c>
      <c r="AR23" s="205">
        <f t="shared" si="13"/>
        <v>528.78346875</v>
      </c>
      <c r="AS23" s="205">
        <f t="shared" si="13"/>
        <v>102.91377187500001</v>
      </c>
      <c r="AT23" s="231">
        <f t="shared" si="14"/>
        <v>1096.428646875</v>
      </c>
    </row>
    <row r="24" spans="1:46" ht="11.25" customHeight="1">
      <c r="A24" s="8">
        <v>18</v>
      </c>
      <c r="B24" s="8">
        <v>44</v>
      </c>
      <c r="C24" s="8"/>
      <c r="D24" s="346">
        <v>6</v>
      </c>
      <c r="E24" s="17">
        <f>VLOOKUP(D24,'A13 - Tabelle'!$A$6:$F$13,6)</f>
        <v>57295.799999999996</v>
      </c>
      <c r="F24" s="17">
        <f>VLOOKUP(D24,'A13 - Tabelle'!$A$6:$G$13,7)</f>
        <v>42151.28</v>
      </c>
      <c r="G24" s="18">
        <f t="shared" si="0"/>
        <v>39631.28</v>
      </c>
      <c r="H24" s="19"/>
      <c r="I24" s="16">
        <v>6</v>
      </c>
      <c r="J24" s="17">
        <f>VLOOKUP(I24,'E13 - Tabelle'!$A$7:$L$19,11)</f>
        <v>68230.125</v>
      </c>
      <c r="K24" s="20">
        <f>VLOOKUP(I24,'E13 - Tabelle'!$A$7:$L$19,12)</f>
        <v>36819.16</v>
      </c>
      <c r="L24" s="28">
        <f t="shared" si="1"/>
        <v>-2812.1199999999953</v>
      </c>
      <c r="M24" s="32">
        <f t="shared" si="5"/>
        <v>-26575.989999999954</v>
      </c>
      <c r="N24" s="8">
        <v>18</v>
      </c>
      <c r="O24" s="8">
        <v>44</v>
      </c>
      <c r="P24" s="47"/>
      <c r="Q24" s="47"/>
      <c r="R24" s="256"/>
      <c r="T24" s="204"/>
      <c r="U24" s="370">
        <f t="shared" si="6"/>
        <v>1.8672721674876847</v>
      </c>
      <c r="V24" s="371"/>
      <c r="W24" s="68">
        <v>1.3</v>
      </c>
      <c r="X24" s="370">
        <f t="shared" si="2"/>
        <v>7.391596875</v>
      </c>
      <c r="Y24" s="68"/>
      <c r="Z24" s="372"/>
      <c r="AA24" s="197"/>
      <c r="AB24" s="204"/>
      <c r="AC24" s="205">
        <f t="shared" si="3"/>
        <v>323.025</v>
      </c>
      <c r="AD24" s="205">
        <f t="shared" si="3"/>
        <v>56.418749999999996</v>
      </c>
      <c r="AE24" s="205">
        <f t="shared" si="7"/>
        <v>85.28765625</v>
      </c>
      <c r="AF24" s="205">
        <f t="shared" si="7"/>
        <v>528.78346875</v>
      </c>
      <c r="AG24" s="205">
        <f t="shared" si="7"/>
        <v>366.736921875</v>
      </c>
      <c r="AH24" s="206">
        <f t="shared" si="8"/>
        <v>1360.2517968749999</v>
      </c>
      <c r="AI24" s="206">
        <f t="shared" si="9"/>
        <v>5685.84375</v>
      </c>
      <c r="AJ24" s="207">
        <f t="shared" si="10"/>
        <v>7046.095546875</v>
      </c>
      <c r="AK24" s="208"/>
      <c r="AL24" s="221">
        <f t="shared" si="11"/>
        <v>3068.263333333334</v>
      </c>
      <c r="AM24" s="222">
        <f t="shared" si="12"/>
        <v>3977.832213541666</v>
      </c>
      <c r="AN24" s="208"/>
      <c r="AO24" s="227">
        <f t="shared" si="4"/>
        <v>323.025</v>
      </c>
      <c r="AP24" s="227">
        <f t="shared" si="4"/>
        <v>56.418749999999996</v>
      </c>
      <c r="AQ24" s="205">
        <f t="shared" si="13"/>
        <v>85.28765625</v>
      </c>
      <c r="AR24" s="205">
        <f t="shared" si="13"/>
        <v>528.78346875</v>
      </c>
      <c r="AS24" s="205">
        <f t="shared" si="13"/>
        <v>102.91377187500001</v>
      </c>
      <c r="AT24" s="231">
        <f t="shared" si="14"/>
        <v>1096.428646875</v>
      </c>
    </row>
    <row r="25" spans="1:46" ht="11.25" customHeight="1">
      <c r="A25" s="8">
        <v>19</v>
      </c>
      <c r="B25" s="8">
        <v>45</v>
      </c>
      <c r="C25" s="8"/>
      <c r="D25" s="346">
        <v>7</v>
      </c>
      <c r="E25" s="17">
        <f>VLOOKUP(D25,'A13 - Tabelle'!$A$6:$F$13,6)</f>
        <v>59487.12</v>
      </c>
      <c r="F25" s="17">
        <f>VLOOKUP(D25,'A13 - Tabelle'!$A$6:$G$13,7)</f>
        <v>43372</v>
      </c>
      <c r="G25" s="18">
        <f t="shared" si="0"/>
        <v>40852</v>
      </c>
      <c r="H25" s="19"/>
      <c r="I25" s="16">
        <v>6</v>
      </c>
      <c r="J25" s="17">
        <f>VLOOKUP(I25,'E13 - Tabelle'!$A$7:$L$19,11)</f>
        <v>68230.125</v>
      </c>
      <c r="K25" s="20">
        <f>VLOOKUP(I25,'E13 - Tabelle'!$A$7:$L$19,12)</f>
        <v>36819.16</v>
      </c>
      <c r="L25" s="28">
        <f t="shared" si="1"/>
        <v>-4032.8399999999965</v>
      </c>
      <c r="M25" s="32">
        <f t="shared" si="5"/>
        <v>-30608.82999999995</v>
      </c>
      <c r="N25" s="8">
        <v>19</v>
      </c>
      <c r="O25" s="8">
        <v>45</v>
      </c>
      <c r="P25" s="47"/>
      <c r="Q25" s="47"/>
      <c r="R25" s="256"/>
      <c r="T25" s="204"/>
      <c r="U25" s="370">
        <f t="shared" si="6"/>
        <v>1.8672721674876847</v>
      </c>
      <c r="V25" s="371"/>
      <c r="W25" s="68">
        <v>1.3</v>
      </c>
      <c r="X25" s="370">
        <f t="shared" si="2"/>
        <v>7.391596875</v>
      </c>
      <c r="Y25" s="68"/>
      <c r="Z25" s="372"/>
      <c r="AA25" s="197"/>
      <c r="AB25" s="204"/>
      <c r="AC25" s="205">
        <f t="shared" si="3"/>
        <v>323.025</v>
      </c>
      <c r="AD25" s="205">
        <f t="shared" si="3"/>
        <v>56.418749999999996</v>
      </c>
      <c r="AE25" s="205">
        <f t="shared" si="7"/>
        <v>85.28765625</v>
      </c>
      <c r="AF25" s="205">
        <f t="shared" si="7"/>
        <v>528.78346875</v>
      </c>
      <c r="AG25" s="205">
        <f t="shared" si="7"/>
        <v>366.736921875</v>
      </c>
      <c r="AH25" s="206">
        <f t="shared" si="8"/>
        <v>1360.2517968749999</v>
      </c>
      <c r="AI25" s="206">
        <f t="shared" si="9"/>
        <v>5685.84375</v>
      </c>
      <c r="AJ25" s="207">
        <f t="shared" si="10"/>
        <v>7046.095546875</v>
      </c>
      <c r="AK25" s="208"/>
      <c r="AL25" s="221">
        <f t="shared" si="11"/>
        <v>3068.263333333334</v>
      </c>
      <c r="AM25" s="222">
        <f t="shared" si="12"/>
        <v>3977.832213541666</v>
      </c>
      <c r="AN25" s="208"/>
      <c r="AO25" s="227">
        <f t="shared" si="4"/>
        <v>323.025</v>
      </c>
      <c r="AP25" s="227">
        <f t="shared" si="4"/>
        <v>56.418749999999996</v>
      </c>
      <c r="AQ25" s="205">
        <f t="shared" si="13"/>
        <v>85.28765625</v>
      </c>
      <c r="AR25" s="205">
        <f t="shared" si="13"/>
        <v>528.78346875</v>
      </c>
      <c r="AS25" s="205">
        <f t="shared" si="13"/>
        <v>102.91377187500001</v>
      </c>
      <c r="AT25" s="231">
        <f t="shared" si="14"/>
        <v>1096.428646875</v>
      </c>
    </row>
    <row r="26" spans="1:46" ht="11.25" customHeight="1">
      <c r="A26" s="8">
        <v>20</v>
      </c>
      <c r="B26" s="8">
        <v>46</v>
      </c>
      <c r="C26" s="8"/>
      <c r="D26" s="346">
        <v>7</v>
      </c>
      <c r="E26" s="17">
        <f>VLOOKUP(D26,'A13 - Tabelle'!$A$6:$F$13,6)</f>
        <v>59487.12</v>
      </c>
      <c r="F26" s="17">
        <f>VLOOKUP(D26,'A13 - Tabelle'!$A$6:$G$13,7)</f>
        <v>43372</v>
      </c>
      <c r="G26" s="18">
        <f t="shared" si="0"/>
        <v>40852</v>
      </c>
      <c r="H26" s="19"/>
      <c r="I26" s="16">
        <v>6</v>
      </c>
      <c r="J26" s="17">
        <f>VLOOKUP(I26,'E13 - Tabelle'!$A$7:$L$19,11)</f>
        <v>68230.125</v>
      </c>
      <c r="K26" s="20">
        <f>VLOOKUP(I26,'E13 - Tabelle'!$A$7:$L$19,12)</f>
        <v>36819.16</v>
      </c>
      <c r="L26" s="28">
        <f t="shared" si="1"/>
        <v>-4032.8399999999965</v>
      </c>
      <c r="M26" s="32">
        <f t="shared" si="5"/>
        <v>-34641.66999999995</v>
      </c>
      <c r="N26" s="8">
        <v>20</v>
      </c>
      <c r="O26" s="8">
        <v>46</v>
      </c>
      <c r="P26" s="47"/>
      <c r="Q26" s="47"/>
      <c r="R26" s="256"/>
      <c r="T26" s="204"/>
      <c r="U26" s="370">
        <f t="shared" si="6"/>
        <v>1.8672721674876847</v>
      </c>
      <c r="V26" s="371"/>
      <c r="W26" s="68">
        <v>1.3</v>
      </c>
      <c r="X26" s="370">
        <f t="shared" si="2"/>
        <v>7.391596875</v>
      </c>
      <c r="Y26" s="68"/>
      <c r="Z26" s="372"/>
      <c r="AA26" s="197"/>
      <c r="AB26" s="204"/>
      <c r="AC26" s="205">
        <f t="shared" si="3"/>
        <v>323.025</v>
      </c>
      <c r="AD26" s="205">
        <f t="shared" si="3"/>
        <v>56.418749999999996</v>
      </c>
      <c r="AE26" s="205">
        <f t="shared" si="7"/>
        <v>85.28765625</v>
      </c>
      <c r="AF26" s="205">
        <f t="shared" si="7"/>
        <v>528.78346875</v>
      </c>
      <c r="AG26" s="205">
        <f t="shared" si="7"/>
        <v>366.736921875</v>
      </c>
      <c r="AH26" s="206">
        <f t="shared" si="8"/>
        <v>1360.2517968749999</v>
      </c>
      <c r="AI26" s="206">
        <f t="shared" si="9"/>
        <v>5685.84375</v>
      </c>
      <c r="AJ26" s="207">
        <f t="shared" si="10"/>
        <v>7046.095546875</v>
      </c>
      <c r="AK26" s="208"/>
      <c r="AL26" s="221">
        <f t="shared" si="11"/>
        <v>3068.263333333334</v>
      </c>
      <c r="AM26" s="222">
        <f t="shared" si="12"/>
        <v>3977.832213541666</v>
      </c>
      <c r="AN26" s="208"/>
      <c r="AO26" s="227">
        <f t="shared" si="4"/>
        <v>323.025</v>
      </c>
      <c r="AP26" s="227">
        <f t="shared" si="4"/>
        <v>56.418749999999996</v>
      </c>
      <c r="AQ26" s="205">
        <f t="shared" si="13"/>
        <v>85.28765625</v>
      </c>
      <c r="AR26" s="205">
        <f t="shared" si="13"/>
        <v>528.78346875</v>
      </c>
      <c r="AS26" s="205">
        <f t="shared" si="13"/>
        <v>102.91377187500001</v>
      </c>
      <c r="AT26" s="231">
        <f t="shared" si="14"/>
        <v>1096.428646875</v>
      </c>
    </row>
    <row r="27" spans="1:46" ht="11.25" customHeight="1">
      <c r="A27" s="8">
        <v>21</v>
      </c>
      <c r="B27" s="8">
        <v>47</v>
      </c>
      <c r="C27" s="8"/>
      <c r="D27" s="346">
        <v>7</v>
      </c>
      <c r="E27" s="17">
        <f>VLOOKUP(D27,'A13 - Tabelle'!$A$6:$F$13,6)</f>
        <v>59487.12</v>
      </c>
      <c r="F27" s="17">
        <f>VLOOKUP(D27,'A13 - Tabelle'!$A$6:$G$13,7)</f>
        <v>43372</v>
      </c>
      <c r="G27" s="18">
        <f t="shared" si="0"/>
        <v>40852</v>
      </c>
      <c r="H27" s="19"/>
      <c r="I27" s="16">
        <v>6</v>
      </c>
      <c r="J27" s="17">
        <f>VLOOKUP(I27,'E13 - Tabelle'!$A$7:$L$19,11)</f>
        <v>68230.125</v>
      </c>
      <c r="K27" s="20">
        <f>VLOOKUP(I27,'E13 - Tabelle'!$A$7:$L$19,12)</f>
        <v>36819.16</v>
      </c>
      <c r="L27" s="28">
        <f t="shared" si="1"/>
        <v>-4032.8399999999965</v>
      </c>
      <c r="M27" s="32">
        <f t="shared" si="5"/>
        <v>-38674.509999999944</v>
      </c>
      <c r="N27" s="8">
        <v>21</v>
      </c>
      <c r="O27" s="8">
        <v>47</v>
      </c>
      <c r="P27" s="49"/>
      <c r="Q27" s="49"/>
      <c r="R27" s="256"/>
      <c r="T27" s="204"/>
      <c r="U27" s="370">
        <f t="shared" si="6"/>
        <v>1.8672721674876847</v>
      </c>
      <c r="V27" s="371"/>
      <c r="W27" s="68">
        <v>1.2</v>
      </c>
      <c r="X27" s="370">
        <f t="shared" si="2"/>
        <v>6.8230125</v>
      </c>
      <c r="Y27" s="68"/>
      <c r="Z27" s="372"/>
      <c r="AA27" s="197"/>
      <c r="AB27" s="204"/>
      <c r="AC27" s="205">
        <f aca="true" t="shared" si="15" ref="AC27:AD46">IF(($J27&lt;$AJ$1),$J27/12*AC$5,$AJ$1/12*AC$5)</f>
        <v>323.025</v>
      </c>
      <c r="AD27" s="205">
        <f t="shared" si="15"/>
        <v>56.418749999999996</v>
      </c>
      <c r="AE27" s="205">
        <f t="shared" si="7"/>
        <v>85.28765625</v>
      </c>
      <c r="AF27" s="205">
        <f t="shared" si="7"/>
        <v>528.78346875</v>
      </c>
      <c r="AG27" s="205">
        <f t="shared" si="7"/>
        <v>366.736921875</v>
      </c>
      <c r="AH27" s="206">
        <f t="shared" si="8"/>
        <v>1360.2517968749999</v>
      </c>
      <c r="AI27" s="206">
        <f t="shared" si="9"/>
        <v>5685.84375</v>
      </c>
      <c r="AJ27" s="207">
        <f t="shared" si="10"/>
        <v>7046.095546875</v>
      </c>
      <c r="AK27" s="208"/>
      <c r="AL27" s="221">
        <f t="shared" si="11"/>
        <v>3068.263333333334</v>
      </c>
      <c r="AM27" s="222">
        <f t="shared" si="12"/>
        <v>3977.832213541666</v>
      </c>
      <c r="AN27" s="208"/>
      <c r="AO27" s="227">
        <f aca="true" t="shared" si="16" ref="AO27:AP46">IF(($J27&lt;$AJ$1),$J27/12*AO$5,$AJ$1/12*AO$5)</f>
        <v>323.025</v>
      </c>
      <c r="AP27" s="227">
        <f t="shared" si="16"/>
        <v>56.418749999999996</v>
      </c>
      <c r="AQ27" s="205">
        <f t="shared" si="13"/>
        <v>85.28765625</v>
      </c>
      <c r="AR27" s="205">
        <f t="shared" si="13"/>
        <v>528.78346875</v>
      </c>
      <c r="AS27" s="205">
        <f t="shared" si="13"/>
        <v>102.91377187500001</v>
      </c>
      <c r="AT27" s="231">
        <f t="shared" si="14"/>
        <v>1096.428646875</v>
      </c>
    </row>
    <row r="28" spans="1:46" ht="11.25" customHeight="1">
      <c r="A28" s="8">
        <v>22</v>
      </c>
      <c r="B28" s="8">
        <v>48</v>
      </c>
      <c r="C28" s="8"/>
      <c r="D28" s="346">
        <v>7</v>
      </c>
      <c r="E28" s="17">
        <f>VLOOKUP(D28,'A13 - Tabelle'!$A$6:$F$13,6)</f>
        <v>59487.12</v>
      </c>
      <c r="F28" s="17">
        <f>VLOOKUP(D28,'A13 - Tabelle'!$A$6:$G$13,7)</f>
        <v>43372</v>
      </c>
      <c r="G28" s="18">
        <f t="shared" si="0"/>
        <v>40852</v>
      </c>
      <c r="H28" s="19"/>
      <c r="I28" s="16">
        <v>6</v>
      </c>
      <c r="J28" s="17">
        <f>VLOOKUP(I28,'E13 - Tabelle'!$A$7:$L$19,11)</f>
        <v>68230.125</v>
      </c>
      <c r="K28" s="20">
        <f>VLOOKUP(I28,'E13 - Tabelle'!$A$7:$L$19,12)</f>
        <v>36819.16</v>
      </c>
      <c r="L28" s="28">
        <f t="shared" si="1"/>
        <v>-4032.8399999999965</v>
      </c>
      <c r="M28" s="32">
        <f t="shared" si="5"/>
        <v>-42707.34999999994</v>
      </c>
      <c r="N28" s="8">
        <v>22</v>
      </c>
      <c r="O28" s="8">
        <v>48</v>
      </c>
      <c r="P28" s="47"/>
      <c r="Q28" s="47"/>
      <c r="R28" s="256"/>
      <c r="T28" s="204"/>
      <c r="U28" s="370">
        <f t="shared" si="6"/>
        <v>1.8672721674876847</v>
      </c>
      <c r="V28" s="371"/>
      <c r="W28" s="68">
        <v>1.2</v>
      </c>
      <c r="X28" s="370">
        <f t="shared" si="2"/>
        <v>6.8230125</v>
      </c>
      <c r="Y28" s="68"/>
      <c r="Z28" s="372"/>
      <c r="AA28" s="197"/>
      <c r="AB28" s="204"/>
      <c r="AC28" s="205">
        <f t="shared" si="15"/>
        <v>323.025</v>
      </c>
      <c r="AD28" s="205">
        <f t="shared" si="15"/>
        <v>56.418749999999996</v>
      </c>
      <c r="AE28" s="205">
        <f t="shared" si="7"/>
        <v>85.28765625</v>
      </c>
      <c r="AF28" s="205">
        <f t="shared" si="7"/>
        <v>528.78346875</v>
      </c>
      <c r="AG28" s="205">
        <f t="shared" si="7"/>
        <v>366.736921875</v>
      </c>
      <c r="AH28" s="206">
        <f t="shared" si="8"/>
        <v>1360.2517968749999</v>
      </c>
      <c r="AI28" s="206">
        <f t="shared" si="9"/>
        <v>5685.84375</v>
      </c>
      <c r="AJ28" s="207">
        <f t="shared" si="10"/>
        <v>7046.095546875</v>
      </c>
      <c r="AK28" s="208"/>
      <c r="AL28" s="221">
        <f t="shared" si="11"/>
        <v>3068.263333333334</v>
      </c>
      <c r="AM28" s="222">
        <f t="shared" si="12"/>
        <v>3977.832213541666</v>
      </c>
      <c r="AN28" s="208"/>
      <c r="AO28" s="227">
        <f t="shared" si="16"/>
        <v>323.025</v>
      </c>
      <c r="AP28" s="227">
        <f t="shared" si="16"/>
        <v>56.418749999999996</v>
      </c>
      <c r="AQ28" s="205">
        <f t="shared" si="13"/>
        <v>85.28765625</v>
      </c>
      <c r="AR28" s="205">
        <f t="shared" si="13"/>
        <v>528.78346875</v>
      </c>
      <c r="AS28" s="205">
        <f t="shared" si="13"/>
        <v>102.91377187500001</v>
      </c>
      <c r="AT28" s="231">
        <f t="shared" si="14"/>
        <v>1096.428646875</v>
      </c>
    </row>
    <row r="29" spans="1:46" ht="11.25" customHeight="1">
      <c r="A29" s="8">
        <v>23</v>
      </c>
      <c r="B29" s="8">
        <v>49</v>
      </c>
      <c r="C29" s="8"/>
      <c r="D29" s="346">
        <v>8</v>
      </c>
      <c r="E29" s="17">
        <f>VLOOKUP(D29,'A13 - Tabelle'!$A$6:$F$13,6)</f>
        <v>60640.31999999999</v>
      </c>
      <c r="F29" s="17">
        <f>VLOOKUP(D29,'A13 - Tabelle'!$A$6:$G$13,7)</f>
        <v>44013.52</v>
      </c>
      <c r="G29" s="18">
        <f t="shared" si="0"/>
        <v>41493.52</v>
      </c>
      <c r="H29" s="19"/>
      <c r="I29" s="16">
        <v>6</v>
      </c>
      <c r="J29" s="17">
        <f>VLOOKUP(I29,'E13 - Tabelle'!$A$7:$L$19,11)</f>
        <v>68230.125</v>
      </c>
      <c r="K29" s="20">
        <f>VLOOKUP(I29,'E13 - Tabelle'!$A$7:$L$19,12)</f>
        <v>36819.16</v>
      </c>
      <c r="L29" s="28">
        <f t="shared" si="1"/>
        <v>-4674.359999999993</v>
      </c>
      <c r="M29" s="32">
        <f t="shared" si="5"/>
        <v>-47381.709999999934</v>
      </c>
      <c r="N29" s="8">
        <v>23</v>
      </c>
      <c r="O29" s="8">
        <v>49</v>
      </c>
      <c r="P29" s="47"/>
      <c r="Q29" s="47"/>
      <c r="R29" s="256"/>
      <c r="T29" s="204"/>
      <c r="U29" s="370">
        <f t="shared" si="6"/>
        <v>1.8672721674876847</v>
      </c>
      <c r="V29" s="371"/>
      <c r="W29" s="68">
        <v>1.2</v>
      </c>
      <c r="X29" s="370">
        <f t="shared" si="2"/>
        <v>6.8230125</v>
      </c>
      <c r="Y29" s="68"/>
      <c r="Z29" s="372"/>
      <c r="AA29" s="197"/>
      <c r="AB29" s="204"/>
      <c r="AC29" s="205">
        <f t="shared" si="15"/>
        <v>323.025</v>
      </c>
      <c r="AD29" s="205">
        <f t="shared" si="15"/>
        <v>56.418749999999996</v>
      </c>
      <c r="AE29" s="205">
        <f t="shared" si="7"/>
        <v>85.28765625</v>
      </c>
      <c r="AF29" s="205">
        <f t="shared" si="7"/>
        <v>528.78346875</v>
      </c>
      <c r="AG29" s="205">
        <f t="shared" si="7"/>
        <v>366.736921875</v>
      </c>
      <c r="AH29" s="206">
        <f t="shared" si="8"/>
        <v>1360.2517968749999</v>
      </c>
      <c r="AI29" s="206">
        <f t="shared" si="9"/>
        <v>5685.84375</v>
      </c>
      <c r="AJ29" s="207">
        <f t="shared" si="10"/>
        <v>7046.095546875</v>
      </c>
      <c r="AK29" s="208"/>
      <c r="AL29" s="221">
        <f t="shared" si="11"/>
        <v>3068.263333333334</v>
      </c>
      <c r="AM29" s="222">
        <f t="shared" si="12"/>
        <v>3977.832213541666</v>
      </c>
      <c r="AN29" s="208"/>
      <c r="AO29" s="227">
        <f t="shared" si="16"/>
        <v>323.025</v>
      </c>
      <c r="AP29" s="227">
        <f t="shared" si="16"/>
        <v>56.418749999999996</v>
      </c>
      <c r="AQ29" s="205">
        <f t="shared" si="13"/>
        <v>85.28765625</v>
      </c>
      <c r="AR29" s="205">
        <f t="shared" si="13"/>
        <v>528.78346875</v>
      </c>
      <c r="AS29" s="205">
        <f t="shared" si="13"/>
        <v>102.91377187500001</v>
      </c>
      <c r="AT29" s="231">
        <f t="shared" si="14"/>
        <v>1096.428646875</v>
      </c>
    </row>
    <row r="30" spans="1:46" ht="11.25" customHeight="1">
      <c r="A30" s="8">
        <v>24</v>
      </c>
      <c r="B30" s="8">
        <v>50</v>
      </c>
      <c r="C30" s="8"/>
      <c r="D30" s="346">
        <v>8</v>
      </c>
      <c r="E30" s="17">
        <f>VLOOKUP(D30,'A13 - Tabelle'!$A$6:$F$13,6)</f>
        <v>60640.31999999999</v>
      </c>
      <c r="F30" s="17">
        <f>VLOOKUP(D30,'A13 - Tabelle'!$A$6:$G$13,7)</f>
        <v>44013.52</v>
      </c>
      <c r="G30" s="18">
        <f t="shared" si="0"/>
        <v>41493.52</v>
      </c>
      <c r="H30" s="19"/>
      <c r="I30" s="16">
        <v>6</v>
      </c>
      <c r="J30" s="17">
        <f>VLOOKUP(I30,'E13 - Tabelle'!$A$7:$L$19,11)</f>
        <v>68230.125</v>
      </c>
      <c r="K30" s="20">
        <f>VLOOKUP(I30,'E13 - Tabelle'!$A$7:$L$19,12)</f>
        <v>36819.16</v>
      </c>
      <c r="L30" s="28">
        <f t="shared" si="1"/>
        <v>-4674.359999999993</v>
      </c>
      <c r="M30" s="32">
        <f t="shared" si="5"/>
        <v>-52056.06999999993</v>
      </c>
      <c r="N30" s="8">
        <v>24</v>
      </c>
      <c r="O30" s="8">
        <v>50</v>
      </c>
      <c r="P30" s="47"/>
      <c r="Q30" s="47"/>
      <c r="R30" s="256"/>
      <c r="T30" s="204"/>
      <c r="U30" s="370">
        <f t="shared" si="6"/>
        <v>1.8672721674876847</v>
      </c>
      <c r="V30" s="371"/>
      <c r="W30" s="68">
        <v>1.1</v>
      </c>
      <c r="X30" s="370">
        <f t="shared" si="2"/>
        <v>6.2544281250000004</v>
      </c>
      <c r="Y30" s="68"/>
      <c r="Z30" s="372"/>
      <c r="AA30" s="197"/>
      <c r="AB30" s="204"/>
      <c r="AC30" s="205">
        <f t="shared" si="15"/>
        <v>323.025</v>
      </c>
      <c r="AD30" s="205">
        <f t="shared" si="15"/>
        <v>56.418749999999996</v>
      </c>
      <c r="AE30" s="205">
        <f t="shared" si="7"/>
        <v>85.28765625</v>
      </c>
      <c r="AF30" s="205">
        <f t="shared" si="7"/>
        <v>528.78346875</v>
      </c>
      <c r="AG30" s="205">
        <f t="shared" si="7"/>
        <v>366.736921875</v>
      </c>
      <c r="AH30" s="206">
        <f t="shared" si="8"/>
        <v>1360.2517968749999</v>
      </c>
      <c r="AI30" s="206">
        <f t="shared" si="9"/>
        <v>5685.84375</v>
      </c>
      <c r="AJ30" s="207">
        <f t="shared" si="10"/>
        <v>7046.095546875</v>
      </c>
      <c r="AK30" s="208"/>
      <c r="AL30" s="221">
        <f t="shared" si="11"/>
        <v>3068.263333333334</v>
      </c>
      <c r="AM30" s="222">
        <f t="shared" si="12"/>
        <v>3977.832213541666</v>
      </c>
      <c r="AN30" s="208"/>
      <c r="AO30" s="227">
        <f t="shared" si="16"/>
        <v>323.025</v>
      </c>
      <c r="AP30" s="227">
        <f t="shared" si="16"/>
        <v>56.418749999999996</v>
      </c>
      <c r="AQ30" s="205">
        <f t="shared" si="13"/>
        <v>85.28765625</v>
      </c>
      <c r="AR30" s="205">
        <f t="shared" si="13"/>
        <v>528.78346875</v>
      </c>
      <c r="AS30" s="205">
        <f t="shared" si="13"/>
        <v>102.91377187500001</v>
      </c>
      <c r="AT30" s="231">
        <f t="shared" si="14"/>
        <v>1096.428646875</v>
      </c>
    </row>
    <row r="31" spans="1:46" ht="11.25" customHeight="1">
      <c r="A31" s="8">
        <v>25</v>
      </c>
      <c r="B31" s="8">
        <v>51</v>
      </c>
      <c r="C31" s="8"/>
      <c r="D31" s="16">
        <v>8</v>
      </c>
      <c r="E31" s="17">
        <f>VLOOKUP(D31,'A13 - Tabelle'!$A$6:$F$13,6)</f>
        <v>60640.31999999999</v>
      </c>
      <c r="F31" s="17">
        <f>VLOOKUP(D31,'A13 - Tabelle'!$A$6:$G$13,7)</f>
        <v>44013.52</v>
      </c>
      <c r="G31" s="18">
        <f t="shared" si="0"/>
        <v>41493.52</v>
      </c>
      <c r="H31" s="19"/>
      <c r="I31" s="16">
        <v>6</v>
      </c>
      <c r="J31" s="17">
        <f>VLOOKUP(I31,'E13 - Tabelle'!$A$7:$L$19,11)</f>
        <v>68230.125</v>
      </c>
      <c r="K31" s="20">
        <f>VLOOKUP(I31,'E13 - Tabelle'!$A$7:$L$19,12)</f>
        <v>36819.16</v>
      </c>
      <c r="L31" s="28">
        <f t="shared" si="1"/>
        <v>-4674.359999999993</v>
      </c>
      <c r="M31" s="32">
        <f t="shared" si="5"/>
        <v>-56730.42999999992</v>
      </c>
      <c r="N31" s="8">
        <v>25</v>
      </c>
      <c r="O31" s="8">
        <v>51</v>
      </c>
      <c r="P31" s="47"/>
      <c r="Q31" s="47"/>
      <c r="R31" s="256"/>
      <c r="T31" s="204"/>
      <c r="U31" s="370">
        <f t="shared" si="6"/>
        <v>1.8672721674876847</v>
      </c>
      <c r="V31" s="371"/>
      <c r="W31" s="68">
        <v>1.1</v>
      </c>
      <c r="X31" s="370">
        <f t="shared" si="2"/>
        <v>6.2544281250000004</v>
      </c>
      <c r="Y31" s="68"/>
      <c r="Z31" s="372"/>
      <c r="AA31" s="197"/>
      <c r="AB31" s="204"/>
      <c r="AC31" s="205">
        <f t="shared" si="15"/>
        <v>323.025</v>
      </c>
      <c r="AD31" s="205">
        <f t="shared" si="15"/>
        <v>56.418749999999996</v>
      </c>
      <c r="AE31" s="205">
        <f t="shared" si="7"/>
        <v>85.28765625</v>
      </c>
      <c r="AF31" s="205">
        <f t="shared" si="7"/>
        <v>528.78346875</v>
      </c>
      <c r="AG31" s="205">
        <f t="shared" si="7"/>
        <v>366.736921875</v>
      </c>
      <c r="AH31" s="206">
        <f t="shared" si="8"/>
        <v>1360.2517968749999</v>
      </c>
      <c r="AI31" s="206">
        <f t="shared" si="9"/>
        <v>5685.84375</v>
      </c>
      <c r="AJ31" s="207">
        <f t="shared" si="10"/>
        <v>7046.095546875</v>
      </c>
      <c r="AK31" s="208"/>
      <c r="AL31" s="221">
        <f t="shared" si="11"/>
        <v>3068.263333333334</v>
      </c>
      <c r="AM31" s="222">
        <f t="shared" si="12"/>
        <v>3977.832213541666</v>
      </c>
      <c r="AN31" s="208"/>
      <c r="AO31" s="227">
        <f t="shared" si="16"/>
        <v>323.025</v>
      </c>
      <c r="AP31" s="227">
        <f t="shared" si="16"/>
        <v>56.418749999999996</v>
      </c>
      <c r="AQ31" s="205">
        <f t="shared" si="13"/>
        <v>85.28765625</v>
      </c>
      <c r="AR31" s="205">
        <f t="shared" si="13"/>
        <v>528.78346875</v>
      </c>
      <c r="AS31" s="205">
        <f t="shared" si="13"/>
        <v>102.91377187500001</v>
      </c>
      <c r="AT31" s="231">
        <f t="shared" si="14"/>
        <v>1096.428646875</v>
      </c>
    </row>
    <row r="32" spans="1:46" ht="11.25" customHeight="1">
      <c r="A32" s="8">
        <v>26</v>
      </c>
      <c r="B32" s="8">
        <v>52</v>
      </c>
      <c r="C32" s="8"/>
      <c r="D32" s="16">
        <v>8</v>
      </c>
      <c r="E32" s="17">
        <f>VLOOKUP(D32,'A13 - Tabelle'!$A$6:$F$13,6)</f>
        <v>60640.31999999999</v>
      </c>
      <c r="F32" s="17">
        <f>VLOOKUP(D32,'A13 - Tabelle'!$A$6:$G$13,7)</f>
        <v>44013.52</v>
      </c>
      <c r="G32" s="18">
        <f t="shared" si="0"/>
        <v>41493.52</v>
      </c>
      <c r="H32" s="19"/>
      <c r="I32" s="16">
        <v>6</v>
      </c>
      <c r="J32" s="17">
        <f>VLOOKUP(I32,'E13 - Tabelle'!$A$7:$L$19,11)</f>
        <v>68230.125</v>
      </c>
      <c r="K32" s="20">
        <f>VLOOKUP(I32,'E13 - Tabelle'!$A$7:$L$19,12)</f>
        <v>36819.16</v>
      </c>
      <c r="L32" s="28">
        <f t="shared" si="1"/>
        <v>-4674.359999999993</v>
      </c>
      <c r="M32" s="32">
        <f t="shared" si="5"/>
        <v>-61404.78999999991</v>
      </c>
      <c r="N32" s="8">
        <v>26</v>
      </c>
      <c r="O32" s="8">
        <v>52</v>
      </c>
      <c r="P32" s="47"/>
      <c r="Q32" s="47"/>
      <c r="R32" s="256"/>
      <c r="T32" s="204"/>
      <c r="U32" s="370">
        <f t="shared" si="6"/>
        <v>1.8672721674876847</v>
      </c>
      <c r="V32" s="371"/>
      <c r="W32" s="68">
        <v>1.1</v>
      </c>
      <c r="X32" s="370">
        <f t="shared" si="2"/>
        <v>6.2544281250000004</v>
      </c>
      <c r="Y32" s="68"/>
      <c r="Z32" s="372"/>
      <c r="AA32" s="197"/>
      <c r="AB32" s="204"/>
      <c r="AC32" s="205">
        <f t="shared" si="15"/>
        <v>323.025</v>
      </c>
      <c r="AD32" s="205">
        <f t="shared" si="15"/>
        <v>56.418749999999996</v>
      </c>
      <c r="AE32" s="205">
        <f t="shared" si="7"/>
        <v>85.28765625</v>
      </c>
      <c r="AF32" s="205">
        <f t="shared" si="7"/>
        <v>528.78346875</v>
      </c>
      <c r="AG32" s="205">
        <f t="shared" si="7"/>
        <v>366.736921875</v>
      </c>
      <c r="AH32" s="206">
        <f t="shared" si="8"/>
        <v>1360.2517968749999</v>
      </c>
      <c r="AI32" s="206">
        <f t="shared" si="9"/>
        <v>5685.84375</v>
      </c>
      <c r="AJ32" s="207">
        <f t="shared" si="10"/>
        <v>7046.095546875</v>
      </c>
      <c r="AK32" s="208"/>
      <c r="AL32" s="221">
        <f t="shared" si="11"/>
        <v>3068.263333333334</v>
      </c>
      <c r="AM32" s="222">
        <f t="shared" si="12"/>
        <v>3977.832213541666</v>
      </c>
      <c r="AN32" s="208"/>
      <c r="AO32" s="227">
        <f t="shared" si="16"/>
        <v>323.025</v>
      </c>
      <c r="AP32" s="227">
        <f t="shared" si="16"/>
        <v>56.418749999999996</v>
      </c>
      <c r="AQ32" s="205">
        <f t="shared" si="13"/>
        <v>85.28765625</v>
      </c>
      <c r="AR32" s="205">
        <f t="shared" si="13"/>
        <v>528.78346875</v>
      </c>
      <c r="AS32" s="205">
        <f t="shared" si="13"/>
        <v>102.91377187500001</v>
      </c>
      <c r="AT32" s="231">
        <f t="shared" si="14"/>
        <v>1096.428646875</v>
      </c>
    </row>
    <row r="33" spans="1:46" ht="11.25" customHeight="1">
      <c r="A33" s="8">
        <v>27</v>
      </c>
      <c r="B33" s="8">
        <v>53</v>
      </c>
      <c r="C33" s="8"/>
      <c r="D33" s="16">
        <v>8</v>
      </c>
      <c r="E33" s="17">
        <f>VLOOKUP(D33,'A13 - Tabelle'!$A$6:$F$13,6)</f>
        <v>60640.31999999999</v>
      </c>
      <c r="F33" s="17">
        <f>VLOOKUP(D33,'A13 - Tabelle'!$A$6:$G$13,7)</f>
        <v>44013.52</v>
      </c>
      <c r="G33" s="18">
        <f t="shared" si="0"/>
        <v>41493.52</v>
      </c>
      <c r="H33" s="19"/>
      <c r="I33" s="16">
        <v>6</v>
      </c>
      <c r="J33" s="17">
        <f>VLOOKUP(I33,'E13 - Tabelle'!$A$7:$L$19,11)</f>
        <v>68230.125</v>
      </c>
      <c r="K33" s="20">
        <f>VLOOKUP(I33,'E13 - Tabelle'!$A$7:$L$19,12)</f>
        <v>36819.16</v>
      </c>
      <c r="L33" s="28">
        <f t="shared" si="1"/>
        <v>-4674.359999999993</v>
      </c>
      <c r="M33" s="32">
        <f t="shared" si="5"/>
        <v>-66079.1499999999</v>
      </c>
      <c r="N33" s="8">
        <v>27</v>
      </c>
      <c r="O33" s="8">
        <v>53</v>
      </c>
      <c r="P33" s="47"/>
      <c r="Q33" s="47"/>
      <c r="R33" s="256"/>
      <c r="T33" s="204"/>
      <c r="U33" s="370">
        <f t="shared" si="6"/>
        <v>1.8672721674876847</v>
      </c>
      <c r="V33" s="371"/>
      <c r="W33" s="68">
        <v>1</v>
      </c>
      <c r="X33" s="370">
        <f t="shared" si="2"/>
        <v>5.68584375</v>
      </c>
      <c r="Y33" s="68"/>
      <c r="Z33" s="372"/>
      <c r="AA33" s="197"/>
      <c r="AB33" s="204"/>
      <c r="AC33" s="205">
        <f t="shared" si="15"/>
        <v>323.025</v>
      </c>
      <c r="AD33" s="205">
        <f t="shared" si="15"/>
        <v>56.418749999999996</v>
      </c>
      <c r="AE33" s="205">
        <f t="shared" si="7"/>
        <v>85.28765625</v>
      </c>
      <c r="AF33" s="205">
        <f t="shared" si="7"/>
        <v>528.78346875</v>
      </c>
      <c r="AG33" s="205">
        <f t="shared" si="7"/>
        <v>366.736921875</v>
      </c>
      <c r="AH33" s="206">
        <f t="shared" si="8"/>
        <v>1360.2517968749999</v>
      </c>
      <c r="AI33" s="206">
        <f t="shared" si="9"/>
        <v>5685.84375</v>
      </c>
      <c r="AJ33" s="207">
        <f t="shared" si="10"/>
        <v>7046.095546875</v>
      </c>
      <c r="AK33" s="208"/>
      <c r="AL33" s="221">
        <f t="shared" si="11"/>
        <v>3068.263333333334</v>
      </c>
      <c r="AM33" s="222">
        <f t="shared" si="12"/>
        <v>3977.832213541666</v>
      </c>
      <c r="AN33" s="208"/>
      <c r="AO33" s="227">
        <f t="shared" si="16"/>
        <v>323.025</v>
      </c>
      <c r="AP33" s="227">
        <f t="shared" si="16"/>
        <v>56.418749999999996</v>
      </c>
      <c r="AQ33" s="205">
        <f t="shared" si="13"/>
        <v>85.28765625</v>
      </c>
      <c r="AR33" s="205">
        <f t="shared" si="13"/>
        <v>528.78346875</v>
      </c>
      <c r="AS33" s="205">
        <f t="shared" si="13"/>
        <v>102.91377187500001</v>
      </c>
      <c r="AT33" s="231">
        <f t="shared" si="14"/>
        <v>1096.428646875</v>
      </c>
    </row>
    <row r="34" spans="1:46" ht="11.25" customHeight="1">
      <c r="A34" s="8">
        <v>28</v>
      </c>
      <c r="B34" s="8">
        <v>54</v>
      </c>
      <c r="C34" s="8"/>
      <c r="D34" s="16">
        <v>8</v>
      </c>
      <c r="E34" s="17">
        <f>VLOOKUP(D34,'A13 - Tabelle'!$A$6:$F$13,6)</f>
        <v>60640.31999999999</v>
      </c>
      <c r="F34" s="17">
        <f>VLOOKUP(D34,'A13 - Tabelle'!$A$6:$G$13,7)</f>
        <v>44013.52</v>
      </c>
      <c r="G34" s="18">
        <f t="shared" si="0"/>
        <v>41493.52</v>
      </c>
      <c r="H34" s="19"/>
      <c r="I34" s="16">
        <v>6</v>
      </c>
      <c r="J34" s="17">
        <f>VLOOKUP(I34,'E13 - Tabelle'!$A$7:$L$19,11)</f>
        <v>68230.125</v>
      </c>
      <c r="K34" s="20">
        <f>VLOOKUP(I34,'E13 - Tabelle'!$A$7:$L$19,12)</f>
        <v>36819.16</v>
      </c>
      <c r="L34" s="28">
        <f t="shared" si="1"/>
        <v>-4674.359999999993</v>
      </c>
      <c r="M34" s="32">
        <f t="shared" si="5"/>
        <v>-70753.5099999999</v>
      </c>
      <c r="N34" s="8">
        <v>28</v>
      </c>
      <c r="O34" s="8">
        <v>54</v>
      </c>
      <c r="P34" s="47"/>
      <c r="Q34" s="47"/>
      <c r="R34" s="256"/>
      <c r="T34" s="204"/>
      <c r="U34" s="370">
        <f t="shared" si="6"/>
        <v>1.8672721674876847</v>
      </c>
      <c r="V34" s="371"/>
      <c r="W34" s="68">
        <v>1</v>
      </c>
      <c r="X34" s="370">
        <f t="shared" si="2"/>
        <v>5.68584375</v>
      </c>
      <c r="Y34" s="68"/>
      <c r="Z34" s="372"/>
      <c r="AA34" s="197"/>
      <c r="AB34" s="204"/>
      <c r="AC34" s="205">
        <f t="shared" si="15"/>
        <v>323.025</v>
      </c>
      <c r="AD34" s="205">
        <f t="shared" si="15"/>
        <v>56.418749999999996</v>
      </c>
      <c r="AE34" s="205">
        <f t="shared" si="7"/>
        <v>85.28765625</v>
      </c>
      <c r="AF34" s="205">
        <f t="shared" si="7"/>
        <v>528.78346875</v>
      </c>
      <c r="AG34" s="205">
        <f t="shared" si="7"/>
        <v>366.736921875</v>
      </c>
      <c r="AH34" s="206">
        <f t="shared" si="8"/>
        <v>1360.2517968749999</v>
      </c>
      <c r="AI34" s="206">
        <f t="shared" si="9"/>
        <v>5685.84375</v>
      </c>
      <c r="AJ34" s="207">
        <f t="shared" si="10"/>
        <v>7046.095546875</v>
      </c>
      <c r="AK34" s="208"/>
      <c r="AL34" s="221">
        <f t="shared" si="11"/>
        <v>3068.263333333334</v>
      </c>
      <c r="AM34" s="222">
        <f t="shared" si="12"/>
        <v>3977.832213541666</v>
      </c>
      <c r="AN34" s="208"/>
      <c r="AO34" s="227">
        <f t="shared" si="16"/>
        <v>323.025</v>
      </c>
      <c r="AP34" s="227">
        <f t="shared" si="16"/>
        <v>56.418749999999996</v>
      </c>
      <c r="AQ34" s="205">
        <f t="shared" si="13"/>
        <v>85.28765625</v>
      </c>
      <c r="AR34" s="205">
        <f t="shared" si="13"/>
        <v>528.78346875</v>
      </c>
      <c r="AS34" s="205">
        <f t="shared" si="13"/>
        <v>102.91377187500001</v>
      </c>
      <c r="AT34" s="231">
        <f t="shared" si="14"/>
        <v>1096.428646875</v>
      </c>
    </row>
    <row r="35" spans="1:46" ht="11.25" customHeight="1">
      <c r="A35" s="8">
        <v>29</v>
      </c>
      <c r="B35" s="8">
        <v>55</v>
      </c>
      <c r="C35" s="8"/>
      <c r="D35" s="16">
        <v>8</v>
      </c>
      <c r="E35" s="17">
        <f>VLOOKUP(D35,'A13 - Tabelle'!$A$6:$F$13,6)</f>
        <v>60640.31999999999</v>
      </c>
      <c r="F35" s="17">
        <f>VLOOKUP(D35,'A13 - Tabelle'!$A$6:$G$13,7)</f>
        <v>44013.52</v>
      </c>
      <c r="G35" s="18">
        <f t="shared" si="0"/>
        <v>41493.52</v>
      </c>
      <c r="H35" s="19"/>
      <c r="I35" s="16">
        <v>6</v>
      </c>
      <c r="J35" s="17">
        <f>VLOOKUP(I35,'E13 - Tabelle'!$A$7:$L$19,11)</f>
        <v>68230.125</v>
      </c>
      <c r="K35" s="20">
        <f>VLOOKUP(I35,'E13 - Tabelle'!$A$7:$L$19,12)</f>
        <v>36819.16</v>
      </c>
      <c r="L35" s="28">
        <f t="shared" si="1"/>
        <v>-4674.359999999993</v>
      </c>
      <c r="M35" s="32">
        <f t="shared" si="5"/>
        <v>-75427.86999999988</v>
      </c>
      <c r="N35" s="8">
        <v>29</v>
      </c>
      <c r="O35" s="8">
        <v>55</v>
      </c>
      <c r="P35" s="47"/>
      <c r="Q35" s="47"/>
      <c r="R35" s="256"/>
      <c r="T35" s="204"/>
      <c r="U35" s="370">
        <f t="shared" si="6"/>
        <v>1.8672721674876847</v>
      </c>
      <c r="V35" s="371"/>
      <c r="W35" s="68">
        <v>1</v>
      </c>
      <c r="X35" s="370">
        <f t="shared" si="2"/>
        <v>5.68584375</v>
      </c>
      <c r="Y35" s="68"/>
      <c r="Z35" s="372"/>
      <c r="AA35" s="197"/>
      <c r="AB35" s="204"/>
      <c r="AC35" s="205">
        <f t="shared" si="15"/>
        <v>323.025</v>
      </c>
      <c r="AD35" s="205">
        <f t="shared" si="15"/>
        <v>56.418749999999996</v>
      </c>
      <c r="AE35" s="205">
        <f t="shared" si="7"/>
        <v>85.28765625</v>
      </c>
      <c r="AF35" s="205">
        <f t="shared" si="7"/>
        <v>528.78346875</v>
      </c>
      <c r="AG35" s="205">
        <f t="shared" si="7"/>
        <v>366.736921875</v>
      </c>
      <c r="AH35" s="206">
        <f t="shared" si="8"/>
        <v>1360.2517968749999</v>
      </c>
      <c r="AI35" s="206">
        <f t="shared" si="9"/>
        <v>5685.84375</v>
      </c>
      <c r="AJ35" s="207">
        <f t="shared" si="10"/>
        <v>7046.095546875</v>
      </c>
      <c r="AK35" s="208"/>
      <c r="AL35" s="221">
        <f t="shared" si="11"/>
        <v>3068.263333333334</v>
      </c>
      <c r="AM35" s="222">
        <f t="shared" si="12"/>
        <v>3977.832213541666</v>
      </c>
      <c r="AN35" s="208"/>
      <c r="AO35" s="227">
        <f t="shared" si="16"/>
        <v>323.025</v>
      </c>
      <c r="AP35" s="227">
        <f t="shared" si="16"/>
        <v>56.418749999999996</v>
      </c>
      <c r="AQ35" s="205">
        <f t="shared" si="13"/>
        <v>85.28765625</v>
      </c>
      <c r="AR35" s="205">
        <f t="shared" si="13"/>
        <v>528.78346875</v>
      </c>
      <c r="AS35" s="205">
        <f t="shared" si="13"/>
        <v>102.91377187500001</v>
      </c>
      <c r="AT35" s="231">
        <f t="shared" si="14"/>
        <v>1096.428646875</v>
      </c>
    </row>
    <row r="36" spans="1:46" ht="11.25" customHeight="1">
      <c r="A36" s="8">
        <v>30</v>
      </c>
      <c r="B36" s="8">
        <v>56</v>
      </c>
      <c r="C36" s="8"/>
      <c r="D36" s="16">
        <v>8</v>
      </c>
      <c r="E36" s="17">
        <f>VLOOKUP(D36,'A13 - Tabelle'!$A$6:$F$13,6)</f>
        <v>60640.31999999999</v>
      </c>
      <c r="F36" s="17">
        <f>VLOOKUP(D36,'A13 - Tabelle'!$A$6:$G$13,7)</f>
        <v>44013.52</v>
      </c>
      <c r="G36" s="18">
        <f t="shared" si="0"/>
        <v>41493.52</v>
      </c>
      <c r="H36" s="19"/>
      <c r="I36" s="16">
        <v>6</v>
      </c>
      <c r="J36" s="17">
        <f>VLOOKUP(I36,'E13 - Tabelle'!$A$7:$L$19,11)</f>
        <v>68230.125</v>
      </c>
      <c r="K36" s="20">
        <f>VLOOKUP(I36,'E13 - Tabelle'!$A$7:$L$19,12)</f>
        <v>36819.16</v>
      </c>
      <c r="L36" s="28">
        <f t="shared" si="1"/>
        <v>-4674.359999999993</v>
      </c>
      <c r="M36" s="32">
        <f t="shared" si="5"/>
        <v>-80102.22999999986</v>
      </c>
      <c r="N36" s="8">
        <v>30</v>
      </c>
      <c r="O36" s="8">
        <v>56</v>
      </c>
      <c r="P36" s="47"/>
      <c r="Q36" s="47"/>
      <c r="R36" s="256"/>
      <c r="T36" s="204"/>
      <c r="U36" s="370">
        <f t="shared" si="6"/>
        <v>1.8672721674876847</v>
      </c>
      <c r="V36" s="371"/>
      <c r="W36" s="68">
        <v>1</v>
      </c>
      <c r="X36" s="370">
        <f t="shared" si="2"/>
        <v>5.68584375</v>
      </c>
      <c r="Y36" s="68"/>
      <c r="Z36" s="372"/>
      <c r="AA36" s="197"/>
      <c r="AB36" s="204"/>
      <c r="AC36" s="205">
        <f t="shared" si="15"/>
        <v>323.025</v>
      </c>
      <c r="AD36" s="205">
        <f t="shared" si="15"/>
        <v>56.418749999999996</v>
      </c>
      <c r="AE36" s="205">
        <f t="shared" si="7"/>
        <v>85.28765625</v>
      </c>
      <c r="AF36" s="205">
        <f t="shared" si="7"/>
        <v>528.78346875</v>
      </c>
      <c r="AG36" s="205">
        <f t="shared" si="7"/>
        <v>366.736921875</v>
      </c>
      <c r="AH36" s="206">
        <f t="shared" si="8"/>
        <v>1360.2517968749999</v>
      </c>
      <c r="AI36" s="206">
        <f t="shared" si="9"/>
        <v>5685.84375</v>
      </c>
      <c r="AJ36" s="207">
        <f t="shared" si="10"/>
        <v>7046.095546875</v>
      </c>
      <c r="AK36" s="208"/>
      <c r="AL36" s="221">
        <f t="shared" si="11"/>
        <v>3068.263333333334</v>
      </c>
      <c r="AM36" s="222">
        <f t="shared" si="12"/>
        <v>3977.832213541666</v>
      </c>
      <c r="AN36" s="208"/>
      <c r="AO36" s="227">
        <f t="shared" si="16"/>
        <v>323.025</v>
      </c>
      <c r="AP36" s="227">
        <f t="shared" si="16"/>
        <v>56.418749999999996</v>
      </c>
      <c r="AQ36" s="205">
        <f t="shared" si="13"/>
        <v>85.28765625</v>
      </c>
      <c r="AR36" s="205">
        <f t="shared" si="13"/>
        <v>528.78346875</v>
      </c>
      <c r="AS36" s="205">
        <f t="shared" si="13"/>
        <v>102.91377187500001</v>
      </c>
      <c r="AT36" s="231">
        <f t="shared" si="14"/>
        <v>1096.428646875</v>
      </c>
    </row>
    <row r="37" spans="1:46" ht="11.25" customHeight="1">
      <c r="A37" s="8">
        <v>31</v>
      </c>
      <c r="B37" s="8">
        <v>57</v>
      </c>
      <c r="C37" s="8"/>
      <c r="D37" s="16">
        <v>8</v>
      </c>
      <c r="E37" s="17">
        <f>VLOOKUP(D37,'A13 - Tabelle'!$A$6:$F$13,6)</f>
        <v>60640.31999999999</v>
      </c>
      <c r="F37" s="17">
        <f>VLOOKUP(D37,'A13 - Tabelle'!$A$6:$G$13,7)</f>
        <v>44013.52</v>
      </c>
      <c r="G37" s="18">
        <f t="shared" si="0"/>
        <v>41493.52</v>
      </c>
      <c r="H37" s="19"/>
      <c r="I37" s="16">
        <v>6</v>
      </c>
      <c r="J37" s="17">
        <f>VLOOKUP(I37,'E13 - Tabelle'!$A$7:$L$19,11)</f>
        <v>68230.125</v>
      </c>
      <c r="K37" s="20">
        <f>VLOOKUP(I37,'E13 - Tabelle'!$A$7:$L$19,12)</f>
        <v>36819.16</v>
      </c>
      <c r="L37" s="28">
        <f t="shared" si="1"/>
        <v>-4674.359999999993</v>
      </c>
      <c r="M37" s="32">
        <f t="shared" si="5"/>
        <v>-84776.58999999985</v>
      </c>
      <c r="N37" s="8">
        <v>31</v>
      </c>
      <c r="O37" s="8">
        <v>57</v>
      </c>
      <c r="P37" s="47"/>
      <c r="Q37" s="47"/>
      <c r="R37" s="256"/>
      <c r="T37" s="204"/>
      <c r="U37" s="370">
        <f t="shared" si="6"/>
        <v>1.8672721674876847</v>
      </c>
      <c r="V37" s="371"/>
      <c r="W37" s="68">
        <v>0.9</v>
      </c>
      <c r="X37" s="370">
        <f t="shared" si="2"/>
        <v>5.117259375000001</v>
      </c>
      <c r="Y37" s="68"/>
      <c r="Z37" s="372"/>
      <c r="AA37" s="197"/>
      <c r="AB37" s="204"/>
      <c r="AC37" s="205">
        <f t="shared" si="15"/>
        <v>323.025</v>
      </c>
      <c r="AD37" s="205">
        <f t="shared" si="15"/>
        <v>56.418749999999996</v>
      </c>
      <c r="AE37" s="205">
        <f t="shared" si="7"/>
        <v>85.28765625</v>
      </c>
      <c r="AF37" s="205">
        <f t="shared" si="7"/>
        <v>528.78346875</v>
      </c>
      <c r="AG37" s="205">
        <f t="shared" si="7"/>
        <v>366.736921875</v>
      </c>
      <c r="AH37" s="206">
        <f t="shared" si="8"/>
        <v>1360.2517968749999</v>
      </c>
      <c r="AI37" s="206">
        <f t="shared" si="9"/>
        <v>5685.84375</v>
      </c>
      <c r="AJ37" s="207">
        <f t="shared" si="10"/>
        <v>7046.095546875</v>
      </c>
      <c r="AK37" s="208"/>
      <c r="AL37" s="221">
        <f t="shared" si="11"/>
        <v>3068.263333333334</v>
      </c>
      <c r="AM37" s="222">
        <f t="shared" si="12"/>
        <v>3977.832213541666</v>
      </c>
      <c r="AN37" s="208"/>
      <c r="AO37" s="227">
        <f t="shared" si="16"/>
        <v>323.025</v>
      </c>
      <c r="AP37" s="227">
        <f t="shared" si="16"/>
        <v>56.418749999999996</v>
      </c>
      <c r="AQ37" s="205">
        <f t="shared" si="13"/>
        <v>85.28765625</v>
      </c>
      <c r="AR37" s="205">
        <f t="shared" si="13"/>
        <v>528.78346875</v>
      </c>
      <c r="AS37" s="205">
        <f t="shared" si="13"/>
        <v>102.91377187500001</v>
      </c>
      <c r="AT37" s="231">
        <f t="shared" si="14"/>
        <v>1096.428646875</v>
      </c>
    </row>
    <row r="38" spans="1:46" ht="11.25" customHeight="1">
      <c r="A38" s="8">
        <v>32</v>
      </c>
      <c r="B38" s="8">
        <v>58</v>
      </c>
      <c r="C38" s="8"/>
      <c r="D38" s="16">
        <v>8</v>
      </c>
      <c r="E38" s="17">
        <f>VLOOKUP(D38,'A13 - Tabelle'!$A$6:$F$13,6)</f>
        <v>60640.31999999999</v>
      </c>
      <c r="F38" s="17">
        <f>VLOOKUP(D38,'A13 - Tabelle'!$A$6:$G$13,7)</f>
        <v>44013.52</v>
      </c>
      <c r="G38" s="18">
        <f t="shared" si="0"/>
        <v>41493.52</v>
      </c>
      <c r="H38" s="19"/>
      <c r="I38" s="16">
        <v>6</v>
      </c>
      <c r="J38" s="17">
        <f>VLOOKUP(I38,'E13 - Tabelle'!$A$7:$L$19,11)</f>
        <v>68230.125</v>
      </c>
      <c r="K38" s="20">
        <f>VLOOKUP(I38,'E13 - Tabelle'!$A$7:$L$19,12)</f>
        <v>36819.16</v>
      </c>
      <c r="L38" s="28">
        <f t="shared" si="1"/>
        <v>-4674.359999999993</v>
      </c>
      <c r="M38" s="32">
        <f t="shared" si="5"/>
        <v>-89450.94999999984</v>
      </c>
      <c r="N38" s="8">
        <v>32</v>
      </c>
      <c r="O38" s="8">
        <v>58</v>
      </c>
      <c r="P38" s="47"/>
      <c r="Q38" s="47"/>
      <c r="R38" s="256"/>
      <c r="T38" s="204"/>
      <c r="U38" s="370">
        <f t="shared" si="6"/>
        <v>1.8672721674876847</v>
      </c>
      <c r="V38" s="371"/>
      <c r="W38" s="68">
        <v>0.9</v>
      </c>
      <c r="X38" s="370">
        <f t="shared" si="2"/>
        <v>5.117259375000001</v>
      </c>
      <c r="Y38" s="68"/>
      <c r="Z38" s="372"/>
      <c r="AA38" s="197"/>
      <c r="AB38" s="204"/>
      <c r="AC38" s="205">
        <f t="shared" si="15"/>
        <v>323.025</v>
      </c>
      <c r="AD38" s="205">
        <f t="shared" si="15"/>
        <v>56.418749999999996</v>
      </c>
      <c r="AE38" s="205">
        <f t="shared" si="7"/>
        <v>85.28765625</v>
      </c>
      <c r="AF38" s="205">
        <f t="shared" si="7"/>
        <v>528.78346875</v>
      </c>
      <c r="AG38" s="205">
        <f t="shared" si="7"/>
        <v>366.736921875</v>
      </c>
      <c r="AH38" s="206">
        <f t="shared" si="8"/>
        <v>1360.2517968749999</v>
      </c>
      <c r="AI38" s="206">
        <f t="shared" si="9"/>
        <v>5685.84375</v>
      </c>
      <c r="AJ38" s="207">
        <f t="shared" si="10"/>
        <v>7046.095546875</v>
      </c>
      <c r="AK38" s="208"/>
      <c r="AL38" s="221">
        <f t="shared" si="11"/>
        <v>3068.263333333334</v>
      </c>
      <c r="AM38" s="222">
        <f t="shared" si="12"/>
        <v>3977.832213541666</v>
      </c>
      <c r="AN38" s="208"/>
      <c r="AO38" s="227">
        <f t="shared" si="16"/>
        <v>323.025</v>
      </c>
      <c r="AP38" s="227">
        <f t="shared" si="16"/>
        <v>56.418749999999996</v>
      </c>
      <c r="AQ38" s="205">
        <f t="shared" si="13"/>
        <v>85.28765625</v>
      </c>
      <c r="AR38" s="205">
        <f t="shared" si="13"/>
        <v>528.78346875</v>
      </c>
      <c r="AS38" s="205">
        <f t="shared" si="13"/>
        <v>102.91377187500001</v>
      </c>
      <c r="AT38" s="231">
        <f t="shared" si="14"/>
        <v>1096.428646875</v>
      </c>
    </row>
    <row r="39" spans="1:46" ht="11.25" customHeight="1">
      <c r="A39" s="8">
        <v>33</v>
      </c>
      <c r="B39" s="8">
        <v>59</v>
      </c>
      <c r="C39" s="8"/>
      <c r="D39" s="16">
        <v>8</v>
      </c>
      <c r="E39" s="17">
        <f>VLOOKUP(D39,'A13 - Tabelle'!$A$6:$F$13,6)</f>
        <v>60640.31999999999</v>
      </c>
      <c r="F39" s="17">
        <f>VLOOKUP(D39,'A13 - Tabelle'!$A$6:$G$13,7)</f>
        <v>44013.52</v>
      </c>
      <c r="G39" s="18">
        <f t="shared" si="0"/>
        <v>41493.52</v>
      </c>
      <c r="H39" s="19"/>
      <c r="I39" s="16">
        <v>6</v>
      </c>
      <c r="J39" s="17">
        <f>VLOOKUP(I39,'E13 - Tabelle'!$A$7:$L$19,11)</f>
        <v>68230.125</v>
      </c>
      <c r="K39" s="20">
        <f>VLOOKUP(I39,'E13 - Tabelle'!$A$7:$L$19,12)</f>
        <v>36819.16</v>
      </c>
      <c r="L39" s="28">
        <f t="shared" si="1"/>
        <v>-4674.359999999993</v>
      </c>
      <c r="M39" s="32">
        <f t="shared" si="5"/>
        <v>-94125.30999999982</v>
      </c>
      <c r="N39" s="8">
        <v>33</v>
      </c>
      <c r="O39" s="8">
        <v>59</v>
      </c>
      <c r="P39" s="47"/>
      <c r="Q39" s="47"/>
      <c r="R39" s="256"/>
      <c r="T39" s="204"/>
      <c r="U39" s="370">
        <f t="shared" si="6"/>
        <v>1.8672721674876847</v>
      </c>
      <c r="V39" s="371"/>
      <c r="W39" s="68">
        <v>0.9</v>
      </c>
      <c r="X39" s="370">
        <f t="shared" si="2"/>
        <v>5.117259375000001</v>
      </c>
      <c r="Y39" s="68"/>
      <c r="Z39" s="372"/>
      <c r="AA39" s="197"/>
      <c r="AB39" s="204"/>
      <c r="AC39" s="205">
        <f t="shared" si="15"/>
        <v>323.025</v>
      </c>
      <c r="AD39" s="205">
        <f t="shared" si="15"/>
        <v>56.418749999999996</v>
      </c>
      <c r="AE39" s="205">
        <f t="shared" si="7"/>
        <v>85.28765625</v>
      </c>
      <c r="AF39" s="205">
        <f t="shared" si="7"/>
        <v>528.78346875</v>
      </c>
      <c r="AG39" s="205">
        <f t="shared" si="7"/>
        <v>366.736921875</v>
      </c>
      <c r="AH39" s="206">
        <f t="shared" si="8"/>
        <v>1360.2517968749999</v>
      </c>
      <c r="AI39" s="206">
        <f t="shared" si="9"/>
        <v>5685.84375</v>
      </c>
      <c r="AJ39" s="207">
        <f t="shared" si="10"/>
        <v>7046.095546875</v>
      </c>
      <c r="AK39" s="208"/>
      <c r="AL39" s="221">
        <f t="shared" si="11"/>
        <v>3068.263333333334</v>
      </c>
      <c r="AM39" s="222">
        <f t="shared" si="12"/>
        <v>3977.832213541666</v>
      </c>
      <c r="AN39" s="208"/>
      <c r="AO39" s="227">
        <f t="shared" si="16"/>
        <v>323.025</v>
      </c>
      <c r="AP39" s="227">
        <f t="shared" si="16"/>
        <v>56.418749999999996</v>
      </c>
      <c r="AQ39" s="205">
        <f t="shared" si="13"/>
        <v>85.28765625</v>
      </c>
      <c r="AR39" s="205">
        <f t="shared" si="13"/>
        <v>528.78346875</v>
      </c>
      <c r="AS39" s="205">
        <f t="shared" si="13"/>
        <v>102.91377187500001</v>
      </c>
      <c r="AT39" s="231">
        <f t="shared" si="14"/>
        <v>1096.428646875</v>
      </c>
    </row>
    <row r="40" spans="1:46" ht="11.25" customHeight="1">
      <c r="A40" s="8">
        <v>34</v>
      </c>
      <c r="B40" s="8">
        <v>60</v>
      </c>
      <c r="C40" s="8"/>
      <c r="D40" s="16">
        <v>8</v>
      </c>
      <c r="E40" s="17">
        <f>VLOOKUP(D40,'A13 - Tabelle'!$A$6:$F$13,6)</f>
        <v>60640.31999999999</v>
      </c>
      <c r="F40" s="17">
        <f>VLOOKUP(D40,'A13 - Tabelle'!$A$6:$G$13,7)</f>
        <v>44013.52</v>
      </c>
      <c r="G40" s="18">
        <f t="shared" si="0"/>
        <v>41493.52</v>
      </c>
      <c r="H40" s="19"/>
      <c r="I40" s="16">
        <v>6</v>
      </c>
      <c r="J40" s="17">
        <f>VLOOKUP(I40,'E13 - Tabelle'!$A$7:$L$19,11)</f>
        <v>68230.125</v>
      </c>
      <c r="K40" s="20">
        <f>VLOOKUP(I40,'E13 - Tabelle'!$A$7:$L$19,12)</f>
        <v>36819.16</v>
      </c>
      <c r="L40" s="28">
        <f t="shared" si="1"/>
        <v>-4674.359999999993</v>
      </c>
      <c r="M40" s="32">
        <f t="shared" si="5"/>
        <v>-98799.66999999981</v>
      </c>
      <c r="N40" s="8">
        <v>34</v>
      </c>
      <c r="O40" s="8">
        <v>60</v>
      </c>
      <c r="P40" s="47"/>
      <c r="Q40" s="47"/>
      <c r="R40" s="256"/>
      <c r="T40" s="204"/>
      <c r="U40" s="370">
        <f t="shared" si="6"/>
        <v>1.8672721674876847</v>
      </c>
      <c r="V40" s="371"/>
      <c r="W40" s="68">
        <v>0.9</v>
      </c>
      <c r="X40" s="370">
        <f t="shared" si="2"/>
        <v>5.117259375000001</v>
      </c>
      <c r="Y40" s="68"/>
      <c r="Z40" s="372"/>
      <c r="AA40" s="197"/>
      <c r="AB40" s="204"/>
      <c r="AC40" s="205">
        <f t="shared" si="15"/>
        <v>323.025</v>
      </c>
      <c r="AD40" s="205">
        <f t="shared" si="15"/>
        <v>56.418749999999996</v>
      </c>
      <c r="AE40" s="205">
        <f t="shared" si="7"/>
        <v>85.28765625</v>
      </c>
      <c r="AF40" s="205">
        <f t="shared" si="7"/>
        <v>528.78346875</v>
      </c>
      <c r="AG40" s="205">
        <f t="shared" si="7"/>
        <v>366.736921875</v>
      </c>
      <c r="AH40" s="206">
        <f t="shared" si="8"/>
        <v>1360.2517968749999</v>
      </c>
      <c r="AI40" s="206">
        <f t="shared" si="9"/>
        <v>5685.84375</v>
      </c>
      <c r="AJ40" s="207">
        <f t="shared" si="10"/>
        <v>7046.095546875</v>
      </c>
      <c r="AK40" s="208"/>
      <c r="AL40" s="221">
        <f t="shared" si="11"/>
        <v>3068.263333333334</v>
      </c>
      <c r="AM40" s="222">
        <f t="shared" si="12"/>
        <v>3977.832213541666</v>
      </c>
      <c r="AN40" s="208"/>
      <c r="AO40" s="227">
        <f t="shared" si="16"/>
        <v>323.025</v>
      </c>
      <c r="AP40" s="227">
        <f t="shared" si="16"/>
        <v>56.418749999999996</v>
      </c>
      <c r="AQ40" s="205">
        <f t="shared" si="13"/>
        <v>85.28765625</v>
      </c>
      <c r="AR40" s="205">
        <f t="shared" si="13"/>
        <v>528.78346875</v>
      </c>
      <c r="AS40" s="205">
        <f t="shared" si="13"/>
        <v>102.91377187500001</v>
      </c>
      <c r="AT40" s="231">
        <f t="shared" si="14"/>
        <v>1096.428646875</v>
      </c>
    </row>
    <row r="41" spans="1:46" ht="11.25" customHeight="1">
      <c r="A41" s="8">
        <v>35</v>
      </c>
      <c r="B41" s="8">
        <v>61</v>
      </c>
      <c r="C41" s="8"/>
      <c r="D41" s="16">
        <v>8</v>
      </c>
      <c r="E41" s="17">
        <f>VLOOKUP(D41,'A13 - Tabelle'!$A$6:$F$13,6)</f>
        <v>60640.31999999999</v>
      </c>
      <c r="F41" s="17">
        <f>VLOOKUP(D41,'A13 - Tabelle'!$A$6:$G$13,7)</f>
        <v>44013.52</v>
      </c>
      <c r="G41" s="18">
        <f t="shared" si="0"/>
        <v>41493.52</v>
      </c>
      <c r="H41" s="19"/>
      <c r="I41" s="16">
        <v>6</v>
      </c>
      <c r="J41" s="17">
        <f>VLOOKUP(I41,'E13 - Tabelle'!$A$7:$L$19,11)</f>
        <v>68230.125</v>
      </c>
      <c r="K41" s="20">
        <f>VLOOKUP(I41,'E13 - Tabelle'!$A$7:$L$19,12)</f>
        <v>36819.16</v>
      </c>
      <c r="L41" s="28">
        <f t="shared" si="1"/>
        <v>-4674.359999999993</v>
      </c>
      <c r="M41" s="32">
        <f t="shared" si="5"/>
        <v>-103474.0299999998</v>
      </c>
      <c r="N41" s="8">
        <v>35</v>
      </c>
      <c r="O41" s="8">
        <v>61</v>
      </c>
      <c r="P41" s="47"/>
      <c r="Q41" s="47"/>
      <c r="R41" s="256"/>
      <c r="T41" s="204"/>
      <c r="U41" s="370">
        <f t="shared" si="6"/>
        <v>1.8672721674876847</v>
      </c>
      <c r="V41" s="371"/>
      <c r="W41" s="68">
        <v>0.9</v>
      </c>
      <c r="X41" s="370">
        <f t="shared" si="2"/>
        <v>5.117259375000001</v>
      </c>
      <c r="Y41" s="68"/>
      <c r="Z41" s="372"/>
      <c r="AA41" s="197"/>
      <c r="AB41" s="204"/>
      <c r="AC41" s="205">
        <f t="shared" si="15"/>
        <v>323.025</v>
      </c>
      <c r="AD41" s="205">
        <f t="shared" si="15"/>
        <v>56.418749999999996</v>
      </c>
      <c r="AE41" s="205">
        <f t="shared" si="7"/>
        <v>85.28765625</v>
      </c>
      <c r="AF41" s="205">
        <f t="shared" si="7"/>
        <v>528.78346875</v>
      </c>
      <c r="AG41" s="205">
        <f t="shared" si="7"/>
        <v>366.736921875</v>
      </c>
      <c r="AH41" s="206">
        <f t="shared" si="8"/>
        <v>1360.2517968749999</v>
      </c>
      <c r="AI41" s="206">
        <f t="shared" si="9"/>
        <v>5685.84375</v>
      </c>
      <c r="AJ41" s="207">
        <f t="shared" si="10"/>
        <v>7046.095546875</v>
      </c>
      <c r="AK41" s="208"/>
      <c r="AL41" s="221">
        <f t="shared" si="11"/>
        <v>3068.263333333334</v>
      </c>
      <c r="AM41" s="222">
        <f t="shared" si="12"/>
        <v>3977.832213541666</v>
      </c>
      <c r="AN41" s="208"/>
      <c r="AO41" s="227">
        <f t="shared" si="16"/>
        <v>323.025</v>
      </c>
      <c r="AP41" s="227">
        <f t="shared" si="16"/>
        <v>56.418749999999996</v>
      </c>
      <c r="AQ41" s="205">
        <f t="shared" si="13"/>
        <v>85.28765625</v>
      </c>
      <c r="AR41" s="205">
        <f t="shared" si="13"/>
        <v>528.78346875</v>
      </c>
      <c r="AS41" s="205">
        <f t="shared" si="13"/>
        <v>102.91377187500001</v>
      </c>
      <c r="AT41" s="231">
        <f t="shared" si="14"/>
        <v>1096.428646875</v>
      </c>
    </row>
    <row r="42" spans="1:46" ht="11.25" customHeight="1">
      <c r="A42" s="8">
        <v>36</v>
      </c>
      <c r="B42" s="8">
        <v>62</v>
      </c>
      <c r="C42" s="8"/>
      <c r="D42" s="16">
        <v>8</v>
      </c>
      <c r="E42" s="17">
        <f>VLOOKUP(D42,'A13 - Tabelle'!$A$6:$F$13,6)</f>
        <v>60640.31999999999</v>
      </c>
      <c r="F42" s="17">
        <f>VLOOKUP(D42,'A13 - Tabelle'!$A$6:$G$13,7)</f>
        <v>44013.52</v>
      </c>
      <c r="G42" s="18">
        <f t="shared" si="0"/>
        <v>41493.52</v>
      </c>
      <c r="H42" s="19"/>
      <c r="I42" s="16">
        <v>6</v>
      </c>
      <c r="J42" s="17">
        <f>VLOOKUP(I42,'E13 - Tabelle'!$A$7:$L$19,11)</f>
        <v>68230.125</v>
      </c>
      <c r="K42" s="20">
        <f>VLOOKUP(I42,'E13 - Tabelle'!$A$7:$L$19,12)</f>
        <v>36819.16</v>
      </c>
      <c r="L42" s="28">
        <f t="shared" si="1"/>
        <v>-4674.359999999993</v>
      </c>
      <c r="M42" s="32">
        <f t="shared" si="5"/>
        <v>-108148.38999999978</v>
      </c>
      <c r="N42" s="8">
        <v>36</v>
      </c>
      <c r="O42" s="8">
        <v>62</v>
      </c>
      <c r="P42" s="47"/>
      <c r="Q42" s="47"/>
      <c r="R42" s="256"/>
      <c r="T42" s="204"/>
      <c r="U42" s="370">
        <f t="shared" si="6"/>
        <v>1.8672721674876847</v>
      </c>
      <c r="V42" s="371"/>
      <c r="W42" s="68">
        <v>0.8</v>
      </c>
      <c r="X42" s="370">
        <f t="shared" si="2"/>
        <v>4.548675</v>
      </c>
      <c r="Y42" s="68"/>
      <c r="Z42" s="372"/>
      <c r="AA42" s="197"/>
      <c r="AB42" s="204"/>
      <c r="AC42" s="205">
        <f t="shared" si="15"/>
        <v>323.025</v>
      </c>
      <c r="AD42" s="205">
        <f t="shared" si="15"/>
        <v>56.418749999999996</v>
      </c>
      <c r="AE42" s="205">
        <f t="shared" si="7"/>
        <v>85.28765625</v>
      </c>
      <c r="AF42" s="205">
        <f t="shared" si="7"/>
        <v>528.78346875</v>
      </c>
      <c r="AG42" s="205">
        <f t="shared" si="7"/>
        <v>366.736921875</v>
      </c>
      <c r="AH42" s="206">
        <f t="shared" si="8"/>
        <v>1360.2517968749999</v>
      </c>
      <c r="AI42" s="206">
        <f t="shared" si="9"/>
        <v>5685.84375</v>
      </c>
      <c r="AJ42" s="207">
        <f t="shared" si="10"/>
        <v>7046.095546875</v>
      </c>
      <c r="AK42" s="208"/>
      <c r="AL42" s="221">
        <f t="shared" si="11"/>
        <v>3068.263333333334</v>
      </c>
      <c r="AM42" s="222">
        <f t="shared" si="12"/>
        <v>3977.832213541666</v>
      </c>
      <c r="AN42" s="208"/>
      <c r="AO42" s="227">
        <f t="shared" si="16"/>
        <v>323.025</v>
      </c>
      <c r="AP42" s="227">
        <f t="shared" si="16"/>
        <v>56.418749999999996</v>
      </c>
      <c r="AQ42" s="205">
        <f t="shared" si="13"/>
        <v>85.28765625</v>
      </c>
      <c r="AR42" s="205">
        <f t="shared" si="13"/>
        <v>528.78346875</v>
      </c>
      <c r="AS42" s="205">
        <f t="shared" si="13"/>
        <v>102.91377187500001</v>
      </c>
      <c r="AT42" s="231">
        <f t="shared" si="14"/>
        <v>1096.428646875</v>
      </c>
    </row>
    <row r="43" spans="1:46" ht="11.25" customHeight="1">
      <c r="A43" s="8">
        <v>37</v>
      </c>
      <c r="B43" s="8">
        <v>63</v>
      </c>
      <c r="C43" s="8"/>
      <c r="D43" s="16">
        <v>8</v>
      </c>
      <c r="E43" s="17">
        <f>VLOOKUP(D43,'A13 - Tabelle'!$A$6:$F$13,6)</f>
        <v>60640.31999999999</v>
      </c>
      <c r="F43" s="17">
        <f>VLOOKUP(D43,'A13 - Tabelle'!$A$6:$G$13,7)</f>
        <v>44013.52</v>
      </c>
      <c r="G43" s="18">
        <f t="shared" si="0"/>
        <v>41493.52</v>
      </c>
      <c r="H43" s="19"/>
      <c r="I43" s="16">
        <v>6</v>
      </c>
      <c r="J43" s="17">
        <f>VLOOKUP(I43,'E13 - Tabelle'!$A$7:$L$19,11)</f>
        <v>68230.125</v>
      </c>
      <c r="K43" s="20">
        <f>VLOOKUP(I43,'E13 - Tabelle'!$A$7:$L$19,12)</f>
        <v>36819.16</v>
      </c>
      <c r="L43" s="28">
        <f t="shared" si="1"/>
        <v>-4674.359999999993</v>
      </c>
      <c r="M43" s="32">
        <f t="shared" si="5"/>
        <v>-112822.74999999977</v>
      </c>
      <c r="N43" s="8">
        <v>37</v>
      </c>
      <c r="O43" s="8">
        <v>63</v>
      </c>
      <c r="P43" s="47"/>
      <c r="Q43" s="47"/>
      <c r="R43" s="256"/>
      <c r="T43" s="204"/>
      <c r="U43" s="370">
        <f t="shared" si="6"/>
        <v>1.8672721674876847</v>
      </c>
      <c r="V43" s="371"/>
      <c r="W43" s="68">
        <v>0.8</v>
      </c>
      <c r="X43" s="370">
        <f t="shared" si="2"/>
        <v>4.548675</v>
      </c>
      <c r="Y43" s="68"/>
      <c r="Z43" s="372"/>
      <c r="AA43" s="197"/>
      <c r="AB43" s="204"/>
      <c r="AC43" s="205">
        <f t="shared" si="15"/>
        <v>323.025</v>
      </c>
      <c r="AD43" s="205">
        <f t="shared" si="15"/>
        <v>56.418749999999996</v>
      </c>
      <c r="AE43" s="205">
        <f t="shared" si="7"/>
        <v>85.28765625</v>
      </c>
      <c r="AF43" s="205">
        <f t="shared" si="7"/>
        <v>528.78346875</v>
      </c>
      <c r="AG43" s="205">
        <f t="shared" si="7"/>
        <v>366.736921875</v>
      </c>
      <c r="AH43" s="206">
        <f t="shared" si="8"/>
        <v>1360.2517968749999</v>
      </c>
      <c r="AI43" s="206">
        <f t="shared" si="9"/>
        <v>5685.84375</v>
      </c>
      <c r="AJ43" s="207">
        <f t="shared" si="10"/>
        <v>7046.095546875</v>
      </c>
      <c r="AK43" s="208"/>
      <c r="AL43" s="221">
        <f t="shared" si="11"/>
        <v>3068.263333333334</v>
      </c>
      <c r="AM43" s="222">
        <f t="shared" si="12"/>
        <v>3977.832213541666</v>
      </c>
      <c r="AN43" s="208"/>
      <c r="AO43" s="227">
        <f t="shared" si="16"/>
        <v>323.025</v>
      </c>
      <c r="AP43" s="227">
        <f t="shared" si="16"/>
        <v>56.418749999999996</v>
      </c>
      <c r="AQ43" s="205">
        <f t="shared" si="13"/>
        <v>85.28765625</v>
      </c>
      <c r="AR43" s="205">
        <f t="shared" si="13"/>
        <v>528.78346875</v>
      </c>
      <c r="AS43" s="205">
        <f t="shared" si="13"/>
        <v>102.91377187500001</v>
      </c>
      <c r="AT43" s="231">
        <f t="shared" si="14"/>
        <v>1096.428646875</v>
      </c>
    </row>
    <row r="44" spans="1:46" ht="11.25" customHeight="1">
      <c r="A44" s="8">
        <v>38</v>
      </c>
      <c r="B44" s="8">
        <v>64</v>
      </c>
      <c r="C44" s="8"/>
      <c r="D44" s="16">
        <v>8</v>
      </c>
      <c r="E44" s="17">
        <f>VLOOKUP(D44,'A13 - Tabelle'!$A$6:$F$13,6)</f>
        <v>60640.31999999999</v>
      </c>
      <c r="F44" s="17">
        <f>VLOOKUP(D44,'A13 - Tabelle'!$A$6:$G$13,7)</f>
        <v>44013.52</v>
      </c>
      <c r="G44" s="18">
        <f t="shared" si="0"/>
        <v>41493.52</v>
      </c>
      <c r="H44" s="19"/>
      <c r="I44" s="16">
        <v>6</v>
      </c>
      <c r="J44" s="17">
        <f>VLOOKUP(I44,'E13 - Tabelle'!$A$7:$L$19,11)</f>
        <v>68230.125</v>
      </c>
      <c r="K44" s="20">
        <f>VLOOKUP(I44,'E13 - Tabelle'!$A$7:$L$19,12)</f>
        <v>36819.16</v>
      </c>
      <c r="L44" s="28">
        <f t="shared" si="1"/>
        <v>-4674.359999999993</v>
      </c>
      <c r="M44" s="32">
        <f t="shared" si="5"/>
        <v>-117497.10999999975</v>
      </c>
      <c r="N44" s="8">
        <v>38</v>
      </c>
      <c r="O44" s="8">
        <v>64</v>
      </c>
      <c r="P44" s="47"/>
      <c r="Q44" s="47"/>
      <c r="R44" s="256"/>
      <c r="T44" s="204"/>
      <c r="U44" s="370">
        <f t="shared" si="6"/>
        <v>1.8672721674876847</v>
      </c>
      <c r="V44" s="371"/>
      <c r="W44" s="68">
        <v>0.8</v>
      </c>
      <c r="X44" s="370">
        <f t="shared" si="2"/>
        <v>4.548675</v>
      </c>
      <c r="Y44" s="68"/>
      <c r="Z44" s="372"/>
      <c r="AA44" s="197"/>
      <c r="AB44" s="204"/>
      <c r="AC44" s="205">
        <f t="shared" si="15"/>
        <v>323.025</v>
      </c>
      <c r="AD44" s="205">
        <f t="shared" si="15"/>
        <v>56.418749999999996</v>
      </c>
      <c r="AE44" s="205">
        <f t="shared" si="7"/>
        <v>85.28765625</v>
      </c>
      <c r="AF44" s="205">
        <f t="shared" si="7"/>
        <v>528.78346875</v>
      </c>
      <c r="AG44" s="205">
        <f t="shared" si="7"/>
        <v>366.736921875</v>
      </c>
      <c r="AH44" s="206">
        <f t="shared" si="8"/>
        <v>1360.2517968749999</v>
      </c>
      <c r="AI44" s="206">
        <f t="shared" si="9"/>
        <v>5685.84375</v>
      </c>
      <c r="AJ44" s="207">
        <f t="shared" si="10"/>
        <v>7046.095546875</v>
      </c>
      <c r="AK44" s="208"/>
      <c r="AL44" s="221">
        <f t="shared" si="11"/>
        <v>3068.263333333334</v>
      </c>
      <c r="AM44" s="222">
        <f t="shared" si="12"/>
        <v>3977.832213541666</v>
      </c>
      <c r="AN44" s="208"/>
      <c r="AO44" s="227">
        <f t="shared" si="16"/>
        <v>323.025</v>
      </c>
      <c r="AP44" s="227">
        <f t="shared" si="16"/>
        <v>56.418749999999996</v>
      </c>
      <c r="AQ44" s="205">
        <f t="shared" si="13"/>
        <v>85.28765625</v>
      </c>
      <c r="AR44" s="205">
        <f t="shared" si="13"/>
        <v>528.78346875</v>
      </c>
      <c r="AS44" s="205">
        <f t="shared" si="13"/>
        <v>102.91377187500001</v>
      </c>
      <c r="AT44" s="231">
        <f t="shared" si="14"/>
        <v>1096.428646875</v>
      </c>
    </row>
    <row r="45" spans="1:46" ht="11.25" customHeight="1">
      <c r="A45" s="8">
        <v>39</v>
      </c>
      <c r="B45" s="8">
        <v>65</v>
      </c>
      <c r="C45" s="8"/>
      <c r="D45" s="16">
        <v>8</v>
      </c>
      <c r="E45" s="17">
        <f>VLOOKUP(D45,'A13 - Tabelle'!$A$6:$F$13,6)</f>
        <v>60640.31999999999</v>
      </c>
      <c r="F45" s="17">
        <f>VLOOKUP(D45,'A13 - Tabelle'!$A$6:$G$13,7)</f>
        <v>44013.52</v>
      </c>
      <c r="G45" s="18">
        <f t="shared" si="0"/>
        <v>41493.52</v>
      </c>
      <c r="H45" s="19"/>
      <c r="I45" s="16">
        <v>6</v>
      </c>
      <c r="J45" s="17">
        <f>VLOOKUP(I45,'E13 - Tabelle'!$A$7:$L$19,11)</f>
        <v>68230.125</v>
      </c>
      <c r="K45" s="20">
        <f>VLOOKUP(I45,'E13 - Tabelle'!$A$7:$L$19,12)</f>
        <v>36819.16</v>
      </c>
      <c r="L45" s="28">
        <f t="shared" si="1"/>
        <v>-4674.359999999993</v>
      </c>
      <c r="M45" s="32">
        <f t="shared" si="5"/>
        <v>-122171.46999999974</v>
      </c>
      <c r="N45" s="8">
        <v>39</v>
      </c>
      <c r="O45" s="8">
        <v>65</v>
      </c>
      <c r="P45" s="20" t="s">
        <v>143</v>
      </c>
      <c r="Q45" s="47"/>
      <c r="R45" s="256"/>
      <c r="T45" s="204"/>
      <c r="U45" s="370">
        <f t="shared" si="6"/>
        <v>1.8672721674876847</v>
      </c>
      <c r="V45" s="371"/>
      <c r="W45" s="68">
        <v>0.8</v>
      </c>
      <c r="X45" s="370">
        <f t="shared" si="2"/>
        <v>4.548675</v>
      </c>
      <c r="Y45" s="68"/>
      <c r="Z45" s="372"/>
      <c r="AA45" s="197"/>
      <c r="AB45" s="204"/>
      <c r="AC45" s="205">
        <f t="shared" si="15"/>
        <v>323.025</v>
      </c>
      <c r="AD45" s="205">
        <f t="shared" si="15"/>
        <v>56.418749999999996</v>
      </c>
      <c r="AE45" s="205">
        <f t="shared" si="7"/>
        <v>85.28765625</v>
      </c>
      <c r="AF45" s="205">
        <f t="shared" si="7"/>
        <v>528.78346875</v>
      </c>
      <c r="AG45" s="205">
        <f t="shared" si="7"/>
        <v>366.736921875</v>
      </c>
      <c r="AH45" s="206">
        <f t="shared" si="8"/>
        <v>1360.2517968749999</v>
      </c>
      <c r="AI45" s="206">
        <f t="shared" si="9"/>
        <v>5685.84375</v>
      </c>
      <c r="AJ45" s="207">
        <f t="shared" si="10"/>
        <v>7046.095546875</v>
      </c>
      <c r="AK45" s="208"/>
      <c r="AL45" s="221">
        <f t="shared" si="11"/>
        <v>3068.263333333334</v>
      </c>
      <c r="AM45" s="222">
        <f t="shared" si="12"/>
        <v>3977.832213541666</v>
      </c>
      <c r="AN45" s="208"/>
      <c r="AO45" s="227">
        <f t="shared" si="16"/>
        <v>323.025</v>
      </c>
      <c r="AP45" s="227">
        <f t="shared" si="16"/>
        <v>56.418749999999996</v>
      </c>
      <c r="AQ45" s="205">
        <f t="shared" si="13"/>
        <v>85.28765625</v>
      </c>
      <c r="AR45" s="205">
        <f t="shared" si="13"/>
        <v>528.78346875</v>
      </c>
      <c r="AS45" s="205">
        <f t="shared" si="13"/>
        <v>102.91377187500001</v>
      </c>
      <c r="AT45" s="231">
        <f t="shared" si="14"/>
        <v>1096.428646875</v>
      </c>
    </row>
    <row r="46" spans="1:46" ht="11.25" customHeight="1">
      <c r="A46" s="8">
        <v>40</v>
      </c>
      <c r="B46" s="216">
        <v>66</v>
      </c>
      <c r="C46" s="8"/>
      <c r="D46" s="21">
        <v>8</v>
      </c>
      <c r="E46" s="17">
        <f>VLOOKUP(D46,'A13 - Tabelle'!$A$6:$F$13,6)</f>
        <v>60640.31999999999</v>
      </c>
      <c r="F46" s="17">
        <f>VLOOKUP(D46,'A13 - Tabelle'!$A$6:$G$13,7)</f>
        <v>44013.52</v>
      </c>
      <c r="G46" s="18">
        <f t="shared" si="0"/>
        <v>41493.52</v>
      </c>
      <c r="H46" s="19"/>
      <c r="I46" s="16">
        <v>6</v>
      </c>
      <c r="J46" s="17">
        <f>VLOOKUP(I46,'E13 - Tabelle'!$A$7:$L$19,11)</f>
        <v>68230.125</v>
      </c>
      <c r="K46" s="20">
        <f>VLOOKUP(I46,'E13 - Tabelle'!$A$7:$L$19,12)</f>
        <v>36819.16</v>
      </c>
      <c r="L46" s="65">
        <f t="shared" si="1"/>
        <v>-4674.359999999993</v>
      </c>
      <c r="M46" s="66">
        <f t="shared" si="5"/>
        <v>-126845.82999999973</v>
      </c>
      <c r="N46" s="8">
        <v>40</v>
      </c>
      <c r="O46" s="216">
        <v>66</v>
      </c>
      <c r="P46" s="20" t="s">
        <v>144</v>
      </c>
      <c r="Q46" s="47"/>
      <c r="R46" s="256"/>
      <c r="T46" s="204"/>
      <c r="U46" s="370">
        <f t="shared" si="6"/>
        <v>1.8672721674876847</v>
      </c>
      <c r="V46" s="371"/>
      <c r="W46" s="68">
        <v>0.8</v>
      </c>
      <c r="X46" s="370">
        <f t="shared" si="2"/>
        <v>4.548675</v>
      </c>
      <c r="Y46" s="68"/>
      <c r="Z46" s="372"/>
      <c r="AA46" s="197"/>
      <c r="AB46" s="209"/>
      <c r="AC46" s="205">
        <f t="shared" si="15"/>
        <v>323.025</v>
      </c>
      <c r="AD46" s="205">
        <f t="shared" si="15"/>
        <v>56.418749999999996</v>
      </c>
      <c r="AE46" s="205">
        <f t="shared" si="7"/>
        <v>85.28765625</v>
      </c>
      <c r="AF46" s="205">
        <f t="shared" si="7"/>
        <v>528.78346875</v>
      </c>
      <c r="AG46" s="205">
        <f t="shared" si="7"/>
        <v>366.736921875</v>
      </c>
      <c r="AH46" s="206">
        <f t="shared" si="8"/>
        <v>1360.2517968749999</v>
      </c>
      <c r="AI46" s="206">
        <f t="shared" si="9"/>
        <v>5685.84375</v>
      </c>
      <c r="AJ46" s="207">
        <f t="shared" si="10"/>
        <v>7046.095546875</v>
      </c>
      <c r="AK46" s="208"/>
      <c r="AL46" s="221">
        <f t="shared" si="11"/>
        <v>3068.263333333334</v>
      </c>
      <c r="AM46" s="222">
        <f t="shared" si="12"/>
        <v>3977.832213541666</v>
      </c>
      <c r="AN46" s="208"/>
      <c r="AO46" s="227">
        <f t="shared" si="16"/>
        <v>323.025</v>
      </c>
      <c r="AP46" s="227">
        <f t="shared" si="16"/>
        <v>56.418749999999996</v>
      </c>
      <c r="AQ46" s="205">
        <f t="shared" si="13"/>
        <v>85.28765625</v>
      </c>
      <c r="AR46" s="205">
        <f t="shared" si="13"/>
        <v>528.78346875</v>
      </c>
      <c r="AS46" s="205">
        <f t="shared" si="13"/>
        <v>102.91377187500001</v>
      </c>
      <c r="AT46" s="231">
        <f t="shared" si="14"/>
        <v>1096.428646875</v>
      </c>
    </row>
    <row r="47" spans="1:46" s="114" customFormat="1" ht="15.75" thickBot="1">
      <c r="A47" s="108"/>
      <c r="B47" s="108"/>
      <c r="C47" s="108"/>
      <c r="D47" s="105" t="s">
        <v>7</v>
      </c>
      <c r="E47" s="109">
        <f>AVERAGE(E7:E46)</f>
        <v>57409.91100000002</v>
      </c>
      <c r="F47" s="109">
        <f>AVERAGE(F7:F46)</f>
        <v>42192.22325000001</v>
      </c>
      <c r="G47" s="99">
        <f>AVERAGE(G7:G46)</f>
        <v>39672.22325000001</v>
      </c>
      <c r="H47" s="110"/>
      <c r="I47" s="105" t="s">
        <v>7</v>
      </c>
      <c r="J47" s="109">
        <f>AVERAGE(J7:J46)</f>
        <v>67484.90625</v>
      </c>
      <c r="K47" s="106">
        <f>AVERAGE(K7:K46)</f>
        <v>36501.07749999999</v>
      </c>
      <c r="L47" s="111">
        <f>AVERAGE(L7:L46)</f>
        <v>-3171.1457499999933</v>
      </c>
      <c r="M47" s="112"/>
      <c r="N47" s="404">
        <f>L47*40</f>
        <v>-126845.82999999973</v>
      </c>
      <c r="O47" s="405"/>
      <c r="P47" s="405"/>
      <c r="Q47" s="113"/>
      <c r="R47" s="257"/>
      <c r="T47" s="210" t="s">
        <v>134</v>
      </c>
      <c r="U47" s="373">
        <f>SUM(U7:U46)</f>
        <v>73.8751026272578</v>
      </c>
      <c r="V47" s="374">
        <f>U47*V5</f>
        <v>2366.2195371510675</v>
      </c>
      <c r="W47" s="375"/>
      <c r="X47" s="373">
        <f>SUM(X7:X46)</f>
        <v>299.1030625</v>
      </c>
      <c r="Y47" s="376">
        <f>X47*Y5</f>
        <v>1196.41225</v>
      </c>
      <c r="Z47" s="377">
        <f>V47+Y47</f>
        <v>3562.6317871510673</v>
      </c>
      <c r="AA47" s="229"/>
      <c r="AB47" s="210" t="s">
        <v>7</v>
      </c>
      <c r="AC47" s="211">
        <f aca="true" t="shared" si="17" ref="AC47:AJ47">AVERAGE(AC7:AC46)</f>
        <v>323.02499999999975</v>
      </c>
      <c r="AD47" s="211">
        <f t="shared" si="17"/>
        <v>56.41875000000001</v>
      </c>
      <c r="AE47" s="211">
        <f t="shared" si="17"/>
        <v>84.35613281250002</v>
      </c>
      <c r="AF47" s="211">
        <f t="shared" si="17"/>
        <v>523.0080234375</v>
      </c>
      <c r="AG47" s="211">
        <f t="shared" si="17"/>
        <v>362.73137109374966</v>
      </c>
      <c r="AH47" s="212">
        <f t="shared" si="17"/>
        <v>1349.539277343751</v>
      </c>
      <c r="AI47" s="212">
        <f t="shared" si="17"/>
        <v>5623.7421875</v>
      </c>
      <c r="AJ47" s="214">
        <f t="shared" si="17"/>
        <v>6973.281464843751</v>
      </c>
      <c r="AK47" s="208"/>
      <c r="AL47" s="223">
        <f>AVERAGE(AL7:AL46)</f>
        <v>3041.7564583333346</v>
      </c>
      <c r="AM47" s="214">
        <f>AVERAGE(AM7:AM46)</f>
        <v>3931.525006510417</v>
      </c>
      <c r="AN47" s="208"/>
      <c r="AO47" s="228">
        <f aca="true" t="shared" si="18" ref="AO47:AT47">AVERAGE(AO7:AO46)</f>
        <v>323.02499999999975</v>
      </c>
      <c r="AP47" s="211">
        <f t="shared" si="18"/>
        <v>56.41875000000001</v>
      </c>
      <c r="AQ47" s="211">
        <f t="shared" si="18"/>
        <v>84.35613281250002</v>
      </c>
      <c r="AR47" s="211">
        <f t="shared" si="18"/>
        <v>523.0080234375</v>
      </c>
      <c r="AS47" s="211">
        <f t="shared" si="18"/>
        <v>101.78973359374993</v>
      </c>
      <c r="AT47" s="213">
        <f t="shared" si="18"/>
        <v>1088.5976398437501</v>
      </c>
    </row>
    <row r="48" spans="4:46" s="165" customFormat="1" ht="13.5" thickTop="1">
      <c r="D48" s="162" t="s">
        <v>47</v>
      </c>
      <c r="E48" s="163">
        <f>E47/12</f>
        <v>4784.1592500000015</v>
      </c>
      <c r="F48" s="163">
        <f>F47/12</f>
        <v>3516.0186041666675</v>
      </c>
      <c r="G48" s="163">
        <f>G47/12</f>
        <v>3306.0186041666675</v>
      </c>
      <c r="H48" s="163"/>
      <c r="I48" s="164"/>
      <c r="J48" s="163">
        <f>J47/12</f>
        <v>5623.7421875</v>
      </c>
      <c r="K48" s="163">
        <f>K47/12</f>
        <v>3041.756458333333</v>
      </c>
      <c r="L48" s="163">
        <f>L47/12</f>
        <v>-264.2621458333328</v>
      </c>
      <c r="M48" s="31"/>
      <c r="N48" s="31"/>
      <c r="O48" s="31"/>
      <c r="P48" s="31"/>
      <c r="Q48" s="31"/>
      <c r="R48" s="257"/>
      <c r="S48" s="365"/>
      <c r="T48" s="365"/>
      <c r="U48" s="365"/>
      <c r="V48" s="365"/>
      <c r="W48" s="365"/>
      <c r="X48" s="365"/>
      <c r="AA48" s="230"/>
      <c r="AB48" s="217" t="s">
        <v>58</v>
      </c>
      <c r="AC48" s="215"/>
      <c r="AD48" s="215"/>
      <c r="AE48" s="40" t="s">
        <v>71</v>
      </c>
      <c r="AF48" s="240" t="s">
        <v>73</v>
      </c>
      <c r="AK48" s="161"/>
      <c r="AL48" s="161"/>
      <c r="AM48" s="161"/>
      <c r="AN48" s="161"/>
      <c r="AO48" s="161"/>
      <c r="AP48" s="161"/>
      <c r="AQ48" s="161"/>
      <c r="AR48" s="161"/>
      <c r="AS48" s="161"/>
      <c r="AT48" s="161"/>
    </row>
    <row r="49" spans="1:46" ht="12.75">
      <c r="A49" s="258"/>
      <c r="B49" s="258"/>
      <c r="C49" s="258"/>
      <c r="D49" s="256"/>
      <c r="E49" s="259"/>
      <c r="F49" s="260"/>
      <c r="G49" s="261"/>
      <c r="H49" s="262"/>
      <c r="I49" s="256"/>
      <c r="J49" s="259"/>
      <c r="K49" s="261"/>
      <c r="L49" s="263"/>
      <c r="M49" s="263"/>
      <c r="N49" s="264"/>
      <c r="O49" s="265"/>
      <c r="P49" s="266"/>
      <c r="Q49" s="266"/>
      <c r="R49" s="256"/>
      <c r="AA49" s="197"/>
      <c r="AB49" s="40" t="s">
        <v>70</v>
      </c>
      <c r="AC49" s="218"/>
      <c r="AD49" s="218"/>
      <c r="AE49" s="218"/>
      <c r="AF49" s="218"/>
      <c r="AG49" s="218"/>
      <c r="AH49" s="216"/>
      <c r="AI49" s="216"/>
      <c r="AJ49" s="215"/>
      <c r="AK49" s="215"/>
      <c r="AL49" s="40"/>
      <c r="AM49" s="240" t="s">
        <v>72</v>
      </c>
      <c r="AN49" s="215"/>
      <c r="AP49" s="215"/>
      <c r="AQ49" s="215"/>
      <c r="AR49" s="240" t="s">
        <v>74</v>
      </c>
      <c r="AS49" s="215"/>
      <c r="AT49" s="216"/>
    </row>
    <row r="50" spans="9:11" ht="12.75">
      <c r="I50" s="242" t="s">
        <v>78</v>
      </c>
      <c r="J50" s="163">
        <f>J48-'E13 - Modell'!J48</f>
        <v>245.54817708333303</v>
      </c>
      <c r="K50" s="163">
        <f>K48-'E13 - Modell'!K48</f>
        <v>108.93762500000003</v>
      </c>
    </row>
  </sheetData>
  <sheetProtection/>
  <mergeCells count="3">
    <mergeCell ref="D5:G5"/>
    <mergeCell ref="I5:M5"/>
    <mergeCell ref="N47:P47"/>
  </mergeCells>
  <hyperlinks>
    <hyperlink ref="AM49" r:id="rId1" display="http://www.aok-bv.de/zahlen/gesundheitswesen/index_00529.html"/>
    <hyperlink ref="AR49" r:id="rId2" display="http://www.lohn-info.de/beitragsberechnung.html"/>
  </hyperlinks>
  <printOptions/>
  <pageMargins left="0.57" right="0.18" top="0.19" bottom="0.2" header="0.19" footer="0.17"/>
  <pageSetup horizontalDpi="600" verticalDpi="600" orientation="landscape"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Vergleich Nettoverdienst A13 - E13</dc:title>
  <dc:subject/>
  <dc:creator>Bildet Berlin!</dc:creator>
  <cp:keywords/>
  <dc:description/>
  <cp:lastModifiedBy>Gramm</cp:lastModifiedBy>
  <cp:lastPrinted>2018-09-27T20:25:51Z</cp:lastPrinted>
  <dcterms:created xsi:type="dcterms:W3CDTF">1996-10-17T05:27:31Z</dcterms:created>
  <dcterms:modified xsi:type="dcterms:W3CDTF">2018-12-25T21:07:03Z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